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firstSheet="4" activeTab="7"/>
  </bookViews>
  <sheets>
    <sheet name="Mau 12 - Du toan thu" sheetId="1" r:id="rId1"/>
    <sheet name="Mau10 - QT Thu" sheetId="2" r:id="rId2"/>
    <sheet name="Mau 11" sheetId="3" r:id="rId3"/>
    <sheet name="Quyet toan thu 2010" sheetId="4" r:id="rId4"/>
    <sheet name="Mau 13 - QT chi" sheetId="5" r:id="rId5"/>
    <sheet name="Mau 14 - QT Chi" sheetId="6" r:id="rId6"/>
    <sheet name="mau 15-du toan" sheetId="7" r:id="rId7"/>
    <sheet name="Quyet toan chi 2010" sheetId="8" r:id="rId8"/>
  </sheets>
  <externalReferences>
    <externalReference r:id="rId11"/>
    <externalReference r:id="rId12"/>
    <externalReference r:id="rId13"/>
  </externalReferences>
  <definedNames>
    <definedName name="_Fill" hidden="1">#REF!</definedName>
    <definedName name="BANG">'[1]Sheet1'!#REF!</definedName>
    <definedName name="Cot_thep">'[3]Du_lieu'!$C$19</definedName>
    <definedName name="duaån">#REF!</definedName>
    <definedName name="duan">#REF!</definedName>
    <definedName name="HSNC">'[3]Du_lieu'!$C$6</definedName>
    <definedName name="HT">#REF!</definedName>
    <definedName name="_xlnm.Print_Titles" localSheetId="0">'Mau 12 - Du toan thu'!$7:$10</definedName>
    <definedName name="TBA">#REF!</definedName>
    <definedName name="ThanhXuan110">'[2]KH-Q1,Q2,01'!#REF!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<sst xmlns="http://schemas.openxmlformats.org/spreadsheetml/2006/main" count="681" uniqueCount="513">
  <si>
    <t>Thu phí, lệ phí</t>
  </si>
  <si>
    <t>Học phí</t>
  </si>
  <si>
    <t>Thu từ hoạt động sàn xuất kinh doanh trong nước</t>
  </si>
  <si>
    <t>Thu từ doanh nghiệp nhà nước trung ương</t>
  </si>
  <si>
    <t>Thu từ doanh nghiệp nhà nước địa phương</t>
  </si>
  <si>
    <t>Thu từ khu vực ngoài quốc doanh</t>
  </si>
  <si>
    <t>Thuế nhà đất</t>
  </si>
  <si>
    <t>Thu thuế xuất khẩu, nhập khảu, thuế TTĐB, thuế giá trị gia tăng</t>
  </si>
  <si>
    <t>Tồng thu các khoản cân đối ngân sách nhà nước</t>
  </si>
  <si>
    <t>Thu khác ngân sách</t>
  </si>
  <si>
    <t>Các khoản thu cân đối ngân sách địa phương</t>
  </si>
  <si>
    <t>- Thuế tiêu thụ đặc biệt hàng hoá, dịch vụ trong nước</t>
  </si>
  <si>
    <t>Thuế giá trị gia tăng hàng nhập khẩu (thực thu trên địa bàn)</t>
  </si>
  <si>
    <t>Thu từ doanh nghiệp có vốn đầu tư nước ngoài</t>
  </si>
  <si>
    <t>Các khoản huy động đóng góp xây dựng cơ sở hạ tầng</t>
  </si>
  <si>
    <t>Thuế sử dụng đất nông nghiệp</t>
  </si>
  <si>
    <t>TỔNG THU NGÂN SÁCH ĐỊA PHƯƠNG</t>
  </si>
  <si>
    <t>TỔNG THU NGÂN SÁCH NHÀ NƯỚC TRÊN ĐỊA BÀN</t>
  </si>
  <si>
    <t>Lệ phí trước bạ</t>
  </si>
  <si>
    <t>Sở Ngoại vụ</t>
  </si>
  <si>
    <t>Sự nghiệp y tế</t>
  </si>
  <si>
    <t>Sự nghiệp KHCN&amp;MT</t>
  </si>
  <si>
    <t>Sự nghiệp VH-DL&amp;TT</t>
  </si>
  <si>
    <t>Sự nghiệp PTTH</t>
  </si>
  <si>
    <t>Chi cục bảo vệ thực vật</t>
  </si>
  <si>
    <t>Ban vì sự tiến bộ phụ nữ</t>
  </si>
  <si>
    <t>Hội Chữ thập đỏ</t>
  </si>
  <si>
    <t>Cơ quan đơn vị</t>
  </si>
  <si>
    <t>Chi AN-QP địa phươg</t>
  </si>
  <si>
    <t>Chi cục nước PCLB</t>
  </si>
  <si>
    <t>Trường trung học y tế</t>
  </si>
  <si>
    <t>Hội người cao tuổi</t>
  </si>
  <si>
    <t>MS: 15/CKTC-NSĐP</t>
  </si>
  <si>
    <t>Đơn vị: triệu đồng</t>
  </si>
  <si>
    <t>Chi sự nghiệp GD&amp;ĐT</t>
  </si>
  <si>
    <t>Bảo tàng</t>
  </si>
  <si>
    <t>Đảm bảo xã hội</t>
  </si>
  <si>
    <t>Sở Giáo dục đào tạo</t>
  </si>
  <si>
    <t>Sở Tư pháp</t>
  </si>
  <si>
    <t>Hội Nhà báo</t>
  </si>
  <si>
    <t>Chi SN lâm nghiệp</t>
  </si>
  <si>
    <t>Trung tâm phát hành phim &amp; CB</t>
  </si>
  <si>
    <t>Chi cục kiểm lâm</t>
  </si>
  <si>
    <t>Chi cục phát triển lâm nghiệp</t>
  </si>
  <si>
    <t>Trung tâm thủy sản</t>
  </si>
  <si>
    <t>Thanh tra xây dựng</t>
  </si>
  <si>
    <t>Trung tâm bán đấu giá</t>
  </si>
  <si>
    <t>Ban Dân tộc</t>
  </si>
  <si>
    <t>Hội nạn nhân chất độc màu da cam</t>
  </si>
  <si>
    <t>Chi Khác ngân sách</t>
  </si>
  <si>
    <t xml:space="preserve">  Chi thường xuyên  (theo từng lĩnh vực)</t>
  </si>
  <si>
    <t>Hội đồng liên minh HTX</t>
  </si>
  <si>
    <t>Liên hiệp các hội KH&amp;KT</t>
  </si>
  <si>
    <t>Hội cựu thanh niên xung phong</t>
  </si>
  <si>
    <t>Bộ đội biên phòng</t>
  </si>
  <si>
    <t>Chi Sự nghiệp Nông nghiệp-Thủy lợi</t>
  </si>
  <si>
    <t>Sự nghiệp giao thông</t>
  </si>
  <si>
    <t>Sở Nông nghiệp &amp; PTNT</t>
  </si>
  <si>
    <t>Chi cục phát triển nông thôn</t>
  </si>
  <si>
    <t>Ban thanh tra giao thông</t>
  </si>
  <si>
    <t>Chi cục bảo vệ môi trường</t>
  </si>
  <si>
    <t>Trường trung cấp nghề Tôn Đức Thắng</t>
  </si>
  <si>
    <t>Sở Công thương</t>
  </si>
  <si>
    <t>Sở Giao thông vận tải</t>
  </si>
  <si>
    <t>Sở Khoa học và công nghệ</t>
  </si>
  <si>
    <t>Sở Thông tin truyền thông</t>
  </si>
  <si>
    <t>Hội Nông dân</t>
  </si>
  <si>
    <t>Trung tâm dạy nghề và hỗ trợ nông dân</t>
  </si>
  <si>
    <t>Công an tỉnh</t>
  </si>
  <si>
    <t>Hội Đông y</t>
  </si>
  <si>
    <t>Hội Người mù</t>
  </si>
  <si>
    <t>Chi cục thú y</t>
  </si>
  <si>
    <t>Khu qủan lý đường bộ</t>
  </si>
  <si>
    <t>Văn phòng đăng ký quyền sử dụng đất</t>
  </si>
  <si>
    <t>Báo Bình phước</t>
  </si>
  <si>
    <t>Đài Phát thanh Truyền hình</t>
  </si>
  <si>
    <t>Hội kế hoạch hoá gia đình</t>
  </si>
  <si>
    <t>Quản lý hành chính</t>
  </si>
  <si>
    <t>Trường chính trị</t>
  </si>
  <si>
    <t>Sở Tài chính</t>
  </si>
  <si>
    <t>UBNDTỈNH BÌNH PHƯỚC</t>
  </si>
  <si>
    <t>Tổng Cộng</t>
  </si>
  <si>
    <t>Hội luật Gia</t>
  </si>
  <si>
    <t>Tổng cộng</t>
  </si>
  <si>
    <t>Sở Nội vụ</t>
  </si>
  <si>
    <t>Chi cục QLTT</t>
  </si>
  <si>
    <t>Chi sự nghiệp</t>
  </si>
  <si>
    <t>Hội cựu chiến binh</t>
  </si>
  <si>
    <t>Ủy ban Mặt trận tổ quốc</t>
  </si>
  <si>
    <t>Hội chữ thập đỏ</t>
  </si>
  <si>
    <t>Thanh tra tỉnh</t>
  </si>
  <si>
    <t>Sở Kế hoạch - Đầu tư</t>
  </si>
  <si>
    <t>Tỉnh Đoàn</t>
  </si>
  <si>
    <t>Các đơn vị ở tỉnh</t>
  </si>
  <si>
    <t>Hội đồng Nhân dân tỉnh</t>
  </si>
  <si>
    <t>Sở Xây dựng</t>
  </si>
  <si>
    <t>Hội liên hiệp phụ nữ</t>
  </si>
  <si>
    <t>Văn phòng UBND tỉnh</t>
  </si>
  <si>
    <t>Sở Nông nghiệp - PTNT</t>
  </si>
  <si>
    <t>Sở Khoa học - Công nghệ</t>
  </si>
  <si>
    <t>Sở Giao thông - Vận tải</t>
  </si>
  <si>
    <t>Sở Tài nguyên - Môi trường</t>
  </si>
  <si>
    <t>Hội Đông Y</t>
  </si>
  <si>
    <t>TÊN ĐƠN VỊ</t>
  </si>
  <si>
    <t>Đài Phát thanh - Truyền hình</t>
  </si>
  <si>
    <t>Đơn vị tính: đồng</t>
  </si>
  <si>
    <t>Thu phí xăng dầu</t>
  </si>
  <si>
    <t>Mẫu số 11/CKTC-NSĐP</t>
  </si>
  <si>
    <t>Nguồn thu ngân sách cấp tỉnh</t>
  </si>
  <si>
    <t>- Các khoản thu ngân sách cấp tỉnh hưởng 100%</t>
  </si>
  <si>
    <t>Thu kết dư ngân sách năm trước</t>
  </si>
  <si>
    <t>Chi ngân sách cấp tỉnh</t>
  </si>
  <si>
    <t>Bổ sung cho ngân sách huyện, quận, thị xã, thành phố thuộc tỉnh</t>
  </si>
  <si>
    <t>Chi chuyển nguồn ngân sách năm sau</t>
  </si>
  <si>
    <t>Nguồn thu ngân sách cấp huyện, quận, thị xã, thành phố thuộc tỉnh</t>
  </si>
  <si>
    <t>Thu ngân sách hưởng theo phân cấp</t>
  </si>
  <si>
    <t>- Các khoản thu ngân sách huyện hưởng 100%</t>
  </si>
  <si>
    <t>- Các khoản thu phân chia ngân sách nhà nước hưởng theo tỷ lệ phần trăm (%)</t>
  </si>
  <si>
    <t>Thu bổ sung từ ngân sách cấp tỉnh</t>
  </si>
  <si>
    <t>Thu từ kết dư ngân sách  năm trước</t>
  </si>
  <si>
    <t>Chi ngân sách huyện, quận, thị xã, thành phố thuộc tỉnh</t>
  </si>
  <si>
    <t>Các khoản thu để lại quản lý qua NSNN</t>
  </si>
  <si>
    <t>CÂN ĐỐI QUYẾT TOÁN NGÂN SÁCH CẤP TỈNH VÀ</t>
  </si>
  <si>
    <t>NGÂN SÁCH CẤP TỈNH</t>
  </si>
  <si>
    <t>NGÂN SÁCH HUYỆN, QUẬN, THỊ XÃ, THÀNH PHỐ THUỘC TỈNH</t>
  </si>
  <si>
    <t>(BAO GỒM NGÂN SÁCH CẤP HUYỄN VÀ NGÂN SÁCH CẤP XÃ)</t>
  </si>
  <si>
    <t>Thu từ quỹ dự tữ tài chính</t>
  </si>
  <si>
    <t>UBND TỈNH BÌNH PHƯỚC</t>
  </si>
  <si>
    <t>Viện phí</t>
  </si>
  <si>
    <t>Thu từ sổ xố kiến thiết</t>
  </si>
  <si>
    <t>Chi trả nợ gốc và lãi huy động đầu tư CSHT theo khoản 3 điều 8 của luật NSNN</t>
  </si>
  <si>
    <t>- Chi giáo dục, đào tạo và dạy nghề</t>
  </si>
  <si>
    <t>Tồng chi cân đối ngân sách địa phương</t>
  </si>
  <si>
    <t>Dự phòng</t>
  </si>
  <si>
    <t>Trong đó</t>
  </si>
  <si>
    <t>Các khoản đóng góp khác</t>
  </si>
  <si>
    <t>- Chi khoa học, công nghệ</t>
  </si>
  <si>
    <t>Các khoản chi được để lại chi quản lý của ngân sách nhà nước</t>
  </si>
  <si>
    <t>TỔNG CHI NGÂN SÁCH ĐỊA PHƯƠNG</t>
  </si>
  <si>
    <t>Chi bổ sung Qũy dự trữ tài chính</t>
  </si>
  <si>
    <t>Chi y tế</t>
  </si>
  <si>
    <t>Chi sự nghiệp kinh tế</t>
  </si>
  <si>
    <t>Chi bổ sung quỹ dự trữ</t>
  </si>
  <si>
    <t>Mẫu số 14/CKTC-NSĐP</t>
  </si>
  <si>
    <t>Chi đảm bảo xã hội</t>
  </si>
  <si>
    <t>Chi đầu tư phát triển khác</t>
  </si>
  <si>
    <t>Chi giáo dục, đào tạo và dạy nghề</t>
  </si>
  <si>
    <t>Chi đầu tư xây dựng cơ bản</t>
  </si>
  <si>
    <t>Chi khác ngân sách</t>
  </si>
  <si>
    <t>Chi bổ sung cho ngân sách cấp dưới</t>
  </si>
  <si>
    <t>Chi quốc phòng</t>
  </si>
  <si>
    <t>Chi khoa học, công nghệ</t>
  </si>
  <si>
    <t>Chi bằng nguồn thu để lại quản lý qua NSNN</t>
  </si>
  <si>
    <t xml:space="preserve"> QUYẾT TOÁN CHI NGÂN SÁCH CẤP TỈNH</t>
  </si>
  <si>
    <t>TỔNG CHI NGÂN SÁCH CÂP TỈNH</t>
  </si>
  <si>
    <t>Chi phát thanh, truyền hình</t>
  </si>
  <si>
    <t>Chi quản lý hành chính</t>
  </si>
  <si>
    <t>Chi trợ giá hàng chính sách</t>
  </si>
  <si>
    <t>Gồm</t>
  </si>
  <si>
    <t>Bệnh viện y học cổ truyền</t>
  </si>
  <si>
    <t xml:space="preserve">Tổng số </t>
  </si>
  <si>
    <t>Tổng số</t>
  </si>
  <si>
    <t>Hội khuyến học</t>
  </si>
  <si>
    <t>Hội Luật gia</t>
  </si>
  <si>
    <t>Hội văn học nghệ thuật</t>
  </si>
  <si>
    <t>Hội doanh nghiệp trẻ</t>
  </si>
  <si>
    <t>STT</t>
  </si>
  <si>
    <t>I</t>
  </si>
  <si>
    <t>Các khoản thu được để lại quản lý qua NSNN</t>
  </si>
  <si>
    <t>II</t>
  </si>
  <si>
    <t>III</t>
  </si>
  <si>
    <t>A</t>
  </si>
  <si>
    <t>B</t>
  </si>
  <si>
    <t>IV</t>
  </si>
  <si>
    <t>V</t>
  </si>
  <si>
    <t>VI</t>
  </si>
  <si>
    <t>VII</t>
  </si>
  <si>
    <t>Chi an ninh</t>
  </si>
  <si>
    <t>VIII</t>
  </si>
  <si>
    <t>I/</t>
  </si>
  <si>
    <t>Chi XDCB</t>
  </si>
  <si>
    <t>Thu từ sổ số</t>
  </si>
  <si>
    <t>Thu viện trợ không hoàn lại</t>
  </si>
  <si>
    <t>TỈNH BÌNH PHƯỚC</t>
  </si>
  <si>
    <t>TOÀN TỈNH</t>
  </si>
  <si>
    <t>Nội dung</t>
  </si>
  <si>
    <t>2=3+4</t>
  </si>
  <si>
    <t>Tổng thu NSNN trên địa bàn</t>
  </si>
  <si>
    <t>A. Tổng các khoản thu cân đối NSNN</t>
  </si>
  <si>
    <t>I. Thu từ sản xuất kinh doanh trong nước</t>
  </si>
  <si>
    <t xml:space="preserve">1. Thu từ doanh nghiệp Nhà nước Trung ương </t>
  </si>
  <si>
    <t>- Thuế giá trị gia tăng</t>
  </si>
  <si>
    <t>- Thuế thu nhập doanh nghiệp</t>
  </si>
  <si>
    <t>- Thuế TTĐB hàng hoá, dịch vụ trong nước</t>
  </si>
  <si>
    <t>- Thuế tài nguyên</t>
  </si>
  <si>
    <t>- Thuế môn bài</t>
  </si>
  <si>
    <t>- Thu hồi vốn và thu khác</t>
  </si>
  <si>
    <t xml:space="preserve">2. Thu từ doanh nghiệp Nhà nước địa phương </t>
  </si>
  <si>
    <t>3. Thu từ doanh nghiệp có vốn đầu tư nước ngoài</t>
  </si>
  <si>
    <t>- Tiền thuê mặt đất, mặt nước</t>
  </si>
  <si>
    <t>- Các khoản thu khác</t>
  </si>
  <si>
    <t>5. Lệ phí trước bạ</t>
  </si>
  <si>
    <t>6. Thuế sử dụng đất nông nghiệp</t>
  </si>
  <si>
    <t>7. Thuế nhà đất</t>
  </si>
  <si>
    <t>8. Thuế thu nhập cá nhân</t>
  </si>
  <si>
    <t>9. Thu phí xăng, dầu</t>
  </si>
  <si>
    <t>10. Thu phí và lệ phí</t>
  </si>
  <si>
    <t>11. Thuế chuyển quyền sử dụng đất</t>
  </si>
  <si>
    <t>12. Tiền sử dụng đất</t>
  </si>
  <si>
    <t>13. Thu tiền cho thuê mặt đất, mặt nước</t>
  </si>
  <si>
    <t xml:space="preserve">14. Thu khác </t>
  </si>
  <si>
    <t>II. Thuế XK, thuế NK, thuế TTĐB, thuế VAT hàng nhập khẩu do Hải quan thu</t>
  </si>
  <si>
    <t>Tr.đó: + Thuế XK, NK, TTĐB</t>
  </si>
  <si>
    <t xml:space="preserve">           + Thuế VAT hàng nhập khẩu</t>
  </si>
  <si>
    <t>III. Thu viện trợ</t>
  </si>
  <si>
    <t>IV. Thu huy động đầu tư xây dựng cơ sở hạ tầng theo khoản 3 điều 8 Luật ngân sách Nhà nước</t>
  </si>
  <si>
    <t>B. Các khoản thu được để lại chi quản lý qua NSNN</t>
  </si>
  <si>
    <t>- Thu từ sổ số kiến thiết</t>
  </si>
  <si>
    <t>- Học phí</t>
  </si>
  <si>
    <t>- Viện phí</t>
  </si>
  <si>
    <t>- Thu khác</t>
  </si>
  <si>
    <t>Tổng thu NSĐP</t>
  </si>
  <si>
    <t xml:space="preserve"> - Thu ngân sách địa phương được hưởng</t>
  </si>
  <si>
    <t>Tr.đó: + Các khoản thu 100%</t>
  </si>
  <si>
    <t xml:space="preserve">           + Thu phân chia theo tỷ lệ phần trăm (%)</t>
  </si>
  <si>
    <t>- Thu bổ sung từ ngân sách cấp trên</t>
  </si>
  <si>
    <t>Tr.đó: + Bổ sung cân đối</t>
  </si>
  <si>
    <t xml:space="preserve">           + Bổ sung có mục tiêu XDCB</t>
  </si>
  <si>
    <t xml:space="preserve">           + Bổ sung mục tiêu khác</t>
  </si>
  <si>
    <t>B. Các khoản thu quản lý qua NSNN</t>
  </si>
  <si>
    <t>Thu kết dư</t>
  </si>
  <si>
    <t>Huy động đầu tư theo khoản 3 Điều 8 của Luật NSNN</t>
  </si>
  <si>
    <t>Quyết toán</t>
  </si>
  <si>
    <t>Chi đầu tư phát triển</t>
  </si>
  <si>
    <t>Thu ngân sách địa phương</t>
  </si>
  <si>
    <t>Thu ngân sách địa phương hưởng theo phân cấp</t>
  </si>
  <si>
    <t>- Các khoản thu ngân sách địa phương hưởng 100%</t>
  </si>
  <si>
    <t>Thu bổ sung từ ngân sách trung ương</t>
  </si>
  <si>
    <t>- Bổ sung cân đối</t>
  </si>
  <si>
    <t>Thu chuyển nguồn ngân sách năm trước</t>
  </si>
  <si>
    <t>Chi ngân sách địa phương</t>
  </si>
  <si>
    <t>Chi chuyển nguồn ngân sách sang năm sau</t>
  </si>
  <si>
    <t>Chỉ tiêu</t>
  </si>
  <si>
    <t>Tổng số thu ngân sách nhà nước trên địa bàn</t>
  </si>
  <si>
    <t>Chi thường xuyên</t>
  </si>
  <si>
    <t>- Bổ sung có mục tiêu</t>
  </si>
  <si>
    <t>Thu nội địa (không kể thu từ dầu thô)</t>
  </si>
  <si>
    <t>Thu từ dầu thô</t>
  </si>
  <si>
    <t>Các khoản thu được để lại chi quản lý của ngân sách nhà nước</t>
  </si>
  <si>
    <t>CÂN ĐỐI QUYẾT TOÁN NGÂN SÁCH ĐỊA PHƯƠNG</t>
  </si>
  <si>
    <t>Chi chương trình mục tiêu</t>
  </si>
  <si>
    <t>Đơn vị tính: triệu đồng</t>
  </si>
  <si>
    <t>Chi bổ sung quỹ dự trữ tài chính</t>
  </si>
  <si>
    <t>- Thuế tiêu thụ đặc biệt hàng nội địa</t>
  </si>
  <si>
    <t>Thuế thu nhập cá nhân</t>
  </si>
  <si>
    <t>Thuế quyền sử dụng đất</t>
  </si>
  <si>
    <t>Thu tiền sử dụng đất</t>
  </si>
  <si>
    <t>Thu tiền thuê đất, thuê nước</t>
  </si>
  <si>
    <t>- Thu các khoản tiền phạt ( Bao gồm phạt ATGT )</t>
  </si>
  <si>
    <t>- Thu tịch thu</t>
  </si>
  <si>
    <t>- Thu bán tài sản khác</t>
  </si>
  <si>
    <t>- Thu thanh lý nhà làm việc</t>
  </si>
  <si>
    <t>- Thu hồi vốn nhà nước tại các tổ chức kinh tế</t>
  </si>
  <si>
    <t>- Thu hồi khoản chi năm trước</t>
  </si>
  <si>
    <t>- Thu hoa lợi từ quỹ đất công ích và đất công</t>
  </si>
  <si>
    <t>hàng nhập khẩu do Hải quan thu</t>
  </si>
  <si>
    <t>Thu thuế xuất khẩu, nhập khẩu, thuế TTĐB hàng NK</t>
  </si>
  <si>
    <t>Các khoản đóng góp XDCSHT</t>
  </si>
  <si>
    <t>Các khoản thu địa phương hưởng theo phân cấp</t>
  </si>
  <si>
    <t>- Các khoản thu NSĐP hưởng 100%</t>
  </si>
  <si>
    <t>- Các khoản thu phân chia NSĐP</t>
  </si>
  <si>
    <t>Trong đó: Vốn XDCB ngoài nước</t>
  </si>
  <si>
    <t>Thu chuyển nguồn từ ngân sách năm trước</t>
  </si>
  <si>
    <t xml:space="preserve"> Thu kết dư</t>
  </si>
  <si>
    <t>DỰ TOÁN CHI NGÂN SÁCH KHỐI TỈNH NĂM 2011</t>
  </si>
  <si>
    <t>Thu từ xuất khẩu, nhập khẩu</t>
  </si>
  <si>
    <t>Thu tạm ứng NS Trung ương</t>
  </si>
  <si>
    <t>Chi chuyển nguồn NS năm sau</t>
  </si>
  <si>
    <t>Các khoản chi để lại quản lý qua NS</t>
  </si>
  <si>
    <t>- Các khoản thu phân chia ngân sách nhà nước hưởng
theo tỷ lệ phần trăm (%)</t>
  </si>
  <si>
    <t>Chi trả nợ ( cả gốc và lãi ) các khoản tiền huy động đầu tư theo
khoản 3 điều 8 luật NSNN</t>
  </si>
  <si>
    <t>Chi thuộc nhiệm vụ của ngân sách cấp tỉnh theo phân cấp (không kể số bổ sung cho ngân sách cấp dưới)</t>
  </si>
  <si>
    <t>- Các khoản thu ngân sách phân chia phần ngân sách cấp tỉnh</t>
  </si>
  <si>
    <t>Trong đó:   + Tài nguyên rừng</t>
  </si>
  <si>
    <t xml:space="preserve">                   + Tài nguyên nước thủy điện</t>
  </si>
  <si>
    <t>- Thuế chuyển LN sang NN</t>
  </si>
  <si>
    <t>4. Thu từ khu vực công thương nghiệp - ngoài quốc doanh</t>
  </si>
  <si>
    <t>- Các khoản huy động đóng góp XD XSHT</t>
  </si>
  <si>
    <t>- Thu sổ số kiến thiết</t>
  </si>
  <si>
    <t>- Thu từ kết dư ngân sách năm trước</t>
  </si>
  <si>
    <t>- Thu chuyển nguồn ngân sách năm trước</t>
  </si>
  <si>
    <t>- Thu tiền vay đầu tư CSHT</t>
  </si>
  <si>
    <t xml:space="preserve">Chi CTMT </t>
  </si>
  <si>
    <t>Chi văn hoá - du lịch và thể thao</t>
  </si>
  <si>
    <t>Bộ Chỉ huy quân sự tỉnh</t>
  </si>
  <si>
    <t>Liên hiệp các hội khoa học và kỹ thuật</t>
  </si>
  <si>
    <t>Trường Tôn Đức Thắng</t>
  </si>
  <si>
    <t>Hội Khuyến học</t>
  </si>
  <si>
    <t>Hội Văn học nghệ thuật</t>
  </si>
  <si>
    <t>Hội Doanh nghiệp trẻ</t>
  </si>
  <si>
    <t>Hội Nạn nhân chất độc da cam</t>
  </si>
  <si>
    <t>Trung tâm khuyến nông, khuyến ngư</t>
  </si>
  <si>
    <t>Trung tâm giống lâm nghiệp</t>
  </si>
  <si>
    <t>Trung tâm điều tra quy hoạch PTNNNT</t>
  </si>
  <si>
    <t>Chi cục quản lý chất lượng nông thủy sản</t>
  </si>
  <si>
    <t>Sự nghiệp tài nguyên</t>
  </si>
  <si>
    <t>Trung tâm phát triển qũy đất</t>
  </si>
  <si>
    <t>Chi Sự nghiệp kinh tế khác</t>
  </si>
  <si>
    <t>Trung tâm CNTT và truyền thông</t>
  </si>
  <si>
    <t>Trung tâm quy hoạch và kiểm định xây dựng</t>
  </si>
  <si>
    <t>Trung tâm khuyến công, TVPTCN</t>
  </si>
  <si>
    <t>Trung tâm trợ giúp pháp lý</t>
  </si>
  <si>
    <t>Công nghệ thông tin khác</t>
  </si>
  <si>
    <t>Kinh phí lưu trử tài liệu các Sở, ngành</t>
  </si>
  <si>
    <t>Kinh phí quy hoạch các ngành</t>
  </si>
  <si>
    <t>Sự nghiệp môi trường</t>
  </si>
  <si>
    <t>Vường Quốc gia Bù Gia Mập</t>
  </si>
  <si>
    <t>Chi sự nghiệp môi trường</t>
  </si>
  <si>
    <t>Sở Giaáo dục đào tạo</t>
  </si>
  <si>
    <t>Trường dân tộc nôi trú</t>
  </si>
  <si>
    <t>Trường Chuyên Quang Trung</t>
  </si>
  <si>
    <t>Trường cao đẳng sư phạm</t>
  </si>
  <si>
    <t>Trường Chính trị</t>
  </si>
  <si>
    <t>Bệnh viện đa khoa</t>
  </si>
  <si>
    <t>Qũy khám chữa bệnh cho người nghèo</t>
  </si>
  <si>
    <t>Sự nghiệp dân số kế hoạch hóa gia đình</t>
  </si>
  <si>
    <t>Trung t6am ứng dụng tiến bộ khoa học và CN</t>
  </si>
  <si>
    <t>Chi cục tiêu chuẩn đo lường chất lượng</t>
  </si>
  <si>
    <t>Sự nghiệp văn hóa thể thao và du lịch</t>
  </si>
  <si>
    <t>Thư viện</t>
  </si>
  <si>
    <t>Trung tâm văn hóa thông tin</t>
  </si>
  <si>
    <t>Trung tâm phát hành phim và chiếu bóng</t>
  </si>
  <si>
    <t>Đoàn ca múa nhạc tổng hợp</t>
  </si>
  <si>
    <t>Trung tâm thể dục thể thao</t>
  </si>
  <si>
    <t xml:space="preserve"> Trung tâm chữa bệnh GD-LĐ-XH</t>
  </si>
  <si>
    <t>Trung tâm giới thiệu việc làm</t>
  </si>
  <si>
    <t>Trung tâm nuôi dưỡng người già trẻ mồ côi</t>
  </si>
  <si>
    <t>Kinh phí thực hiện NĐ 67</t>
  </si>
  <si>
    <t>Chi tết và ngày 27/7 cho đối tượng CS</t>
  </si>
  <si>
    <t>Mai táng phí cho đối tượng cựu chiến binh</t>
  </si>
  <si>
    <t>Chi cục quản lý thị trường</t>
  </si>
  <si>
    <t>Hoội đồng liên minh các HTX</t>
  </si>
  <si>
    <t>Sở Kế hoạch đầu tư</t>
  </si>
  <si>
    <t>Sở Lao động - TBXH</t>
  </si>
  <si>
    <t>Sở NN - PTNT</t>
  </si>
  <si>
    <t>Sở Y tế</t>
  </si>
  <si>
    <t>Thanh Tra nhà nước</t>
  </si>
  <si>
    <t>Sở Văn hóa thể thao du lịch</t>
  </si>
  <si>
    <t>Văn phòng Hội đồng nhân dân</t>
  </si>
  <si>
    <t>BCĐ phòng chống tham nhũng</t>
  </si>
  <si>
    <t>Ban quản lý khu kinh tế CKHL</t>
  </si>
  <si>
    <t>Chi quản lý chương trình mục tiêu</t>
  </si>
  <si>
    <t>Kinh phí các hội, đoàn thể</t>
  </si>
  <si>
    <t>Hội nông dân</t>
  </si>
  <si>
    <t>Ủy ban mặt trận tổ quốc tỉnh</t>
  </si>
  <si>
    <t>Trung tâm hỗ trợ thanh niên công nhân</t>
  </si>
  <si>
    <t>Hỗ trợ các tổ chức xã hội</t>
  </si>
  <si>
    <t>Hội Thầy thuốc trẻ</t>
  </si>
  <si>
    <t>Hội bảo trợ NTT-TMC-BNN</t>
  </si>
  <si>
    <t>Tỉnh Đội</t>
  </si>
  <si>
    <t>Hỗ trợ ngân sách Đảng</t>
  </si>
  <si>
    <t>Dự toán năm 2011</t>
  </si>
  <si>
    <t>- Bổ sung có mục tiêu bằng vốn trong nước</t>
  </si>
  <si>
    <t>- Bổ sung có mục tiêu bằng vốn nướcngoài</t>
  </si>
  <si>
    <t xml:space="preserve">           + Bổ sung tăng lương </t>
  </si>
  <si>
    <t xml:space="preserve">           + Bổ sung vốn XDCB theo phân cấp</t>
  </si>
  <si>
    <t xml:space="preserve">- Các khoản huy động đóng góp </t>
  </si>
  <si>
    <t>- Thu phí và lệ phí</t>
  </si>
  <si>
    <t>Chương</t>
  </si>
  <si>
    <t>- Văn phòng UBND tỉnh</t>
  </si>
  <si>
    <t xml:space="preserve"> - Chi Cục kiểm lâm</t>
  </si>
  <si>
    <t xml:space="preserve"> - Vườn QG Bù Gia Mập</t>
  </si>
  <si>
    <t xml:space="preserve"> - Trung tâm thủy sản</t>
  </si>
  <si>
    <t xml:space="preserve"> - Văn phòng Sở Nông nghiệp - PTNT</t>
  </si>
  <si>
    <t xml:space="preserve"> - Chi Cục phát triển lâm nghiệp</t>
  </si>
  <si>
    <t xml:space="preserve"> - Chi Cục phát triển nông thôn</t>
  </si>
  <si>
    <t xml:space="preserve"> - Trung tâm giống nông lâm nghiệp</t>
  </si>
  <si>
    <t xml:space="preserve"> - Trung tâm khuyến công khuyến ngư</t>
  </si>
  <si>
    <t xml:space="preserve"> - Chi cục Thú Y</t>
  </si>
  <si>
    <t xml:space="preserve"> - Chi Cục bảo vệ thực vật</t>
  </si>
  <si>
    <t xml:space="preserve"> - Chi Cục nước PCLB</t>
  </si>
  <si>
    <t xml:space="preserve"> - Trung tâm khuyến công</t>
  </si>
  <si>
    <t>Sở Thông tin - Truyền thông</t>
  </si>
  <si>
    <t xml:space="preserve"> - Trung tâm xúc tiến đầu tư</t>
  </si>
  <si>
    <t xml:space="preserve"> - Văn phòng Sở Kế hoạch - Đầu tư</t>
  </si>
  <si>
    <t>Sở GD-ĐT</t>
  </si>
  <si>
    <t xml:space="preserve"> - Trường Cao đẳng Sư phạm</t>
  </si>
  <si>
    <t xml:space="preserve"> - Giáo dục trung học phổ thông</t>
  </si>
  <si>
    <t xml:space="preserve"> - Văn phòng Sở GD-ĐT</t>
  </si>
  <si>
    <t xml:space="preserve"> - Trường chuyên Quang Trung</t>
  </si>
  <si>
    <t xml:space="preserve"> - Trường trung học Y tế</t>
  </si>
  <si>
    <t xml:space="preserve"> - Văn Phòng Sở Y tế</t>
  </si>
  <si>
    <t xml:space="preserve"> - Trung tâm phòng chống sốt rét</t>
  </si>
  <si>
    <t xml:space="preserve"> - Bệnh viện đa khoa tỉnh</t>
  </si>
  <si>
    <t xml:space="preserve"> - Trung tâm y tế dự phòng</t>
  </si>
  <si>
    <t xml:space="preserve"> - Trung tâm quản lý các bệnh xã hội</t>
  </si>
  <si>
    <t xml:space="preserve"> - Trung tâm phòng chống HIV/AIDS</t>
  </si>
  <si>
    <t xml:space="preserve"> - Trung tâm chăm sóc sức khỏe sinh sản</t>
  </si>
  <si>
    <t xml:space="preserve"> - Chi cục vệ sinh an toàn thực phẩm</t>
  </si>
  <si>
    <t xml:space="preserve"> - Chi Cục dân số kế hoạch hóa gia đình</t>
  </si>
  <si>
    <t xml:space="preserve"> - Giám định y khoa</t>
  </si>
  <si>
    <t xml:space="preserve"> - Bệnh viện y học cổ truyền</t>
  </si>
  <si>
    <t xml:space="preserve"> - Trung Tâm giáo dục thường xuyên</t>
  </si>
  <si>
    <t xml:space="preserve"> - Văn phòng Sở Tài nguyên - Môi trường</t>
  </si>
  <si>
    <t xml:space="preserve"> - Văn phòng Đăng ký QSDĐ</t>
  </si>
  <si>
    <t xml:space="preserve"> - Chi Cục bảo vệ môi trường</t>
  </si>
  <si>
    <t>Sở VHTT</t>
  </si>
  <si>
    <t xml:space="preserve"> - Thư viện tỉnh</t>
  </si>
  <si>
    <t xml:space="preserve"> - Đoàn ca múa nhạc</t>
  </si>
  <si>
    <t xml:space="preserve"> - Trung tâm VHTT</t>
  </si>
  <si>
    <t xml:space="preserve"> - TT phát hành phim&amp;chiến bóng</t>
  </si>
  <si>
    <t xml:space="preserve"> - Bảo tàng tỉnh</t>
  </si>
  <si>
    <t xml:space="preserve"> - Trung tâm thể dục - thể thao</t>
  </si>
  <si>
    <t xml:space="preserve"> - Văn phòng Sở VHTT</t>
  </si>
  <si>
    <t xml:space="preserve"> - Văn phòng Sở Khoa học - Công nghệ</t>
  </si>
  <si>
    <t xml:space="preserve"> - Trung tâm ứng dụng tiến bộ KH-KT</t>
  </si>
  <si>
    <t xml:space="preserve"> - Chi cục TC-ĐL-CL</t>
  </si>
  <si>
    <t xml:space="preserve"> - Văn phòng Sở Xây dựng</t>
  </si>
  <si>
    <t xml:space="preserve"> - Trung tâm Quy hoạch và KĐXD</t>
  </si>
  <si>
    <t xml:space="preserve"> - Văn phòng Sở Giao thông - Vận tải</t>
  </si>
  <si>
    <t xml:space="preserve"> - Ban Thanh tra giao thông</t>
  </si>
  <si>
    <t xml:space="preserve"> - Khu quản lý bảo trì đường bộ</t>
  </si>
  <si>
    <t>Các đơn vị khác</t>
  </si>
  <si>
    <t xml:space="preserve"> - Thanh tra xây dựng</t>
  </si>
  <si>
    <t xml:space="preserve"> - Trung tâm dịch vụ bán đấu giá</t>
  </si>
  <si>
    <t xml:space="preserve"> - Văn phòng Sở Tư pháp</t>
  </si>
  <si>
    <t xml:space="preserve"> - Phòng công chứng số 1</t>
  </si>
  <si>
    <t xml:space="preserve"> - Trường Dân tộc nội trú</t>
  </si>
  <si>
    <t>Văn phòng Sở Công thương</t>
  </si>
  <si>
    <t xml:space="preserve"> - Văn phòng Tỉnh Đoàn</t>
  </si>
  <si>
    <t>Văn phòng Tỉnh ủy</t>
  </si>
  <si>
    <t>Liên đoàn lao động tỉnh</t>
  </si>
  <si>
    <t>Văn phòng Sở Thông tin - Truyền thông</t>
  </si>
  <si>
    <t>Các quan hệ khác của Ngân sách</t>
  </si>
  <si>
    <t>Các Công ty TNHH Một thành viên</t>
  </si>
  <si>
    <t>Các đơn vị khác</t>
  </si>
  <si>
    <t>DỰ TOÁN THU NGÂN SÁCH NHÀ NƯỚC NĂM 2012</t>
  </si>
  <si>
    <t>- Thu phí, lệ phí</t>
  </si>
  <si>
    <t xml:space="preserve">           + Bổ sung có mục tiêu SN</t>
  </si>
  <si>
    <t>NĂM 2010</t>
  </si>
  <si>
    <t>Chi viện trợ</t>
  </si>
  <si>
    <t xml:space="preserve"> QUYẾT TOÁN CHI NGÂN SÁCH ĐỊA PHƯƠNG NĂM 2010</t>
  </si>
  <si>
    <t>NGÂN SÁCH CỦA HUYỆN, THỊ XÃ THUỘC TỈNH NĂM 2010</t>
  </si>
  <si>
    <t>THEO TỪNG LĨNH VỰC NĂM 2010</t>
  </si>
  <si>
    <t xml:space="preserve"> QUYẾT TOÁN THU NGÂN SÁCH NHÀ NƯỚC NĂM 2010</t>
  </si>
  <si>
    <t>- Thu tiền cho thuê quầy bán hàng</t>
  </si>
  <si>
    <t>- Thu tiền bán hàng hoá vật tư dự trữ</t>
  </si>
  <si>
    <t>Thu khác</t>
  </si>
  <si>
    <t>Thu tiền vay đầu tư XDCB</t>
  </si>
  <si>
    <t>IX</t>
  </si>
  <si>
    <t>X</t>
  </si>
  <si>
    <t>Chi hoàn trả nợ vay XDCB</t>
  </si>
  <si>
    <t xml:space="preserve">Đơn vị tính: triệu đồng </t>
  </si>
  <si>
    <t xml:space="preserve">     QUYẾT TOÁN CHI NGÂN SÁCH CẤP TỈNH CHO TỪNG CƠ QUAN, ĐƠN VỊ THUỘC CẤP TỈNH NĂM 2010</t>
  </si>
  <si>
    <t>- Trung tâm điều tra QHNN-PTNT</t>
  </si>
  <si>
    <t>- Trung tâm trợ giúp pháp lý</t>
  </si>
  <si>
    <t>- Khối THPT dân tộc nội trú</t>
  </si>
  <si>
    <t>Sở LĐ-TBXH</t>
  </si>
  <si>
    <t>- Trung tâm phát triển qũy đất</t>
  </si>
  <si>
    <t>Ban QL khu kinh tế</t>
  </si>
  <si>
    <t>- Trung tâm hỗ trợ thanh niên công nhân</t>
  </si>
  <si>
    <t xml:space="preserve">- Trung tâm họat động thanh thiếu niên </t>
  </si>
  <si>
    <t>- Văn phòng Hội Nông dân</t>
  </si>
  <si>
    <t>- Trung tâm dạy nghề và hỗ trợ nông dân</t>
  </si>
  <si>
    <t>Thu ngân sách cấp tỉnh hưởng theo phân cấp</t>
  </si>
  <si>
    <t>Thu tiền vay vốn nhàn rỗi KBNN để đầu tư XDCB</t>
  </si>
  <si>
    <t>Hội bảo trợ người tàn tật, trẻ mồ côi
và bệnh nhân nghèo</t>
  </si>
  <si>
    <t>- Ban chỉ đạo phân giối cắm mốc 
biên giới Việt Nam, CPC</t>
  </si>
  <si>
    <t>Quản lý 
hành chính</t>
  </si>
  <si>
    <t>CTMT
(vốn SN)</t>
  </si>
  <si>
    <t>Các khoản
chi khác</t>
  </si>
  <si>
    <t xml:space="preserve"> - Trung tâm kiểm nghiệm 
dược phẩm mỹ phẩm</t>
  </si>
  <si>
    <t xml:space="preserve"> - Trung tâm truyền thông và 
giáo dục sức khỏe</t>
  </si>
  <si>
    <t>Trung tâm công nghệ thông tin 
và truyền thông</t>
  </si>
  <si>
    <t>TỔNG HỢP DỰ TOÁN CHI NGÂN SÁCH NHÀ NƯỚC NĂM 2012 KHỐI TỈNH</t>
  </si>
  <si>
    <t>Chi trợ giá 
trợ cước</t>
  </si>
  <si>
    <t>Văn phòng điều phối CTMT QG xây dựng nông thôn mới</t>
  </si>
  <si>
    <t>Sở nghiệp giao thông</t>
  </si>
  <si>
    <t>Trung tâm công nghệ thông tin TN-MT</t>
  </si>
  <si>
    <t>Trung tâm xúc tiến đầu tư, thương mại du lịch</t>
  </si>
  <si>
    <t>Qũy phát triển đất</t>
  </si>
  <si>
    <t>Trung tâm khai thác hạ tầng khu công nghiệp</t>
  </si>
  <si>
    <t>Các hoạt động thanh tra, tuyên truyền phổ biến pháp luật, các ngày lễ lớn và sự nghiệp khác</t>
  </si>
  <si>
    <t>Đào tạo khác</t>
  </si>
  <si>
    <t>Giám định y khoa</t>
  </si>
  <si>
    <t>Trung tâm truyền thông giáo dục sức khỏe</t>
  </si>
  <si>
    <t>Trung tâm y tế dự phòng</t>
  </si>
  <si>
    <t>Trung tâm phòng chống sốt rét</t>
  </si>
  <si>
    <t>Trung tâm chăm sóc sức khỏe sinh sản</t>
  </si>
  <si>
    <t>Trung tâm phòng chống các bện xã hội</t>
  </si>
  <si>
    <t>Trung tâm phòng chống HIV/AIDS</t>
  </si>
  <si>
    <t>Trung tâm kiểm nghiệp dược phẩm mỹ phẩm</t>
  </si>
  <si>
    <t>Chi cục an toàn vệ sinh thực phẩm</t>
  </si>
  <si>
    <t>Chi cục dân số kế họach hóa gia đình</t>
  </si>
  <si>
    <t>Trung tâm kỹ thuật TCĐLCL</t>
  </si>
  <si>
    <t>Ban quản lý di tích</t>
  </si>
  <si>
    <t>Đón hài cốt liệt sỹ, đám tang</t>
  </si>
  <si>
    <t>Chi sự nghiệp chăm sóc trẻ em</t>
  </si>
  <si>
    <t>Ban quản lý nghĩa trang</t>
  </si>
  <si>
    <t>Kinh phí phòng chống mại dâm, ma túy</t>
  </si>
  <si>
    <t>Kinh phí định canh, định cư theo QĐ 193</t>
  </si>
  <si>
    <t>Kinh phí theo QĐ 1342/QĐ-TTg</t>
  </si>
  <si>
    <t>Kinh phí trợ giá cho người nghèo</t>
  </si>
  <si>
    <t>QĐ 167</t>
  </si>
  <si>
    <t>Trung tâm công tác xã hội</t>
  </si>
  <si>
    <t xml:space="preserve">Trung tâm hoạt động thanh thiếu niên </t>
  </si>
  <si>
    <t>Hoội điều</t>
  </si>
  <si>
    <t>Hội doanh nghiệp vừa và nhỏ</t>
  </si>
  <si>
    <t xml:space="preserve">UBND TỈNH BÌNH PHƯỚC                                                          Mẫu số 10/CKTC-NSĐP              </t>
  </si>
  <si>
    <t>UBND TỈNH BÌNH PHƯỚC                                                                  Mẫu số 12/CKTC-NSĐP</t>
  </si>
  <si>
    <t>UBND TỈNH BÌNH PHƯỚC                                                                    Mẫu số 13/CKTC-NSĐP</t>
  </si>
  <si>
    <t>(Kèm theo quyết định số: 988/QĐ-UBND ngày 15 tháng 5 năm 2012 của UBND tỉnh)</t>
  </si>
  <si>
    <t>(Kèm theo Quyết định số 988/QĐ-UBND ngày 15 tháng 5 năm 2012 của UBND tỉnh Bình Phước)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</si>
</sst>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#,##0"/>
    <numFmt numFmtId="173" formatCode="#,##0.0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\&quot;#,##0;[Red]&quot;\&quot;\-#,##0"/>
    <numFmt numFmtId="179" formatCode="&quot;\&quot;#,##0.00;[Red]&quot;\&quot;\-#,##0.00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_(* #,##0_);_(* \(#,##0\);_(* &quot;-&quot;??_);_(@_)"/>
    <numFmt numFmtId="184" formatCode="[$-42A]dd\ mmmm\ yyyy"/>
    <numFmt numFmtId="185" formatCode="[$-42A]h:mm:ss\ AM/PM"/>
    <numFmt numFmtId="186" formatCode="[&lt;=9999999][$-1000000]###\-####;[$-1000000]\(#\)\ ###\-####"/>
    <numFmt numFmtId="187" formatCode="_(* #,##0_);_(* \(#,##0\);_(* &quot;&quot;_);_(@_)"/>
    <numFmt numFmtId="188" formatCode="0.000"/>
    <numFmt numFmtId="189" formatCode="_-* #,##0_-;\-* #,##0_-;_-* &quot;-&quot;??_-;_-@_-"/>
    <numFmt numFmtId="190" formatCode="#,##0.000000"/>
    <numFmt numFmtId="191" formatCode="0.0000"/>
    <numFmt numFmtId="192" formatCode="_(* #,##0.000_);_(* \(#,##0.000\);_(* &quot;-&quot;??_);_(@_)"/>
    <numFmt numFmtId="193" formatCode="0.0"/>
    <numFmt numFmtId="194" formatCode="#,###;[Red]\-#,###"/>
    <numFmt numFmtId="195" formatCode="_ * #,##0_ ;_ * \-#,##0_ ;_ * &quot;-&quot;??_ ;_ @_ "/>
    <numFmt numFmtId="196" formatCode="#,##0.0000"/>
    <numFmt numFmtId="197" formatCode="_(* #,##0.0_);_(* \(#,##0.0\);_(* &quot;-&quot;??_);_(@_)"/>
    <numFmt numFmtId="198" formatCode="#,##0.0;[Red]#,##0.0"/>
    <numFmt numFmtId="199" formatCode="\-"/>
    <numFmt numFmtId="200" formatCode="_(* #,##0.000_);_(* \(#,##0.000\);_(* &quot;-&quot;???_);_(@_)"/>
    <numFmt numFmtId="201" formatCode="###,###"/>
    <numFmt numFmtId="202" formatCode="###,###,###"/>
    <numFmt numFmtId="203" formatCode="#,##0;[Red]\-#,##0;&quot;&quot;;_-@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0000"/>
    <numFmt numFmtId="213" formatCode="0.000000000"/>
    <numFmt numFmtId="214" formatCode="_(* #,##0.000000_);_(* \(#,##0.000000\);_(* &quot;-&quot;_);_(@_)"/>
    <numFmt numFmtId="215" formatCode="0.00_)"/>
    <numFmt numFmtId="216" formatCode="&quot;Ngaøy  &quot;dd\ \ &quot;  thaùng  &quot;mm&quot;  naêm  &quot;yyyy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"/>
  </numFmts>
  <fonts count="38">
    <font>
      <sz val="10"/>
      <name val="Arial"/>
      <family val="0"/>
    </font>
    <font>
      <sz val="12"/>
      <name val="VNI-Times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4"/>
      <name val="??"/>
      <family val="3"/>
    </font>
    <font>
      <sz val="10"/>
      <name val="???"/>
      <family val="3"/>
    </font>
    <font>
      <sz val="14"/>
      <name val="VnTime"/>
      <family val="0"/>
    </font>
    <font>
      <sz val="12"/>
      <name val=".VnTime"/>
      <family val="0"/>
    </font>
    <font>
      <sz val="12"/>
      <name val="¹UAAA¼"/>
      <family val="3"/>
    </font>
    <font>
      <sz val="10"/>
      <color indexed="8"/>
      <name val="ARIAL"/>
      <family val="0"/>
    </font>
    <font>
      <u val="single"/>
      <sz val="14.4"/>
      <color indexed="36"/>
      <name val="VNI-Times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4.4"/>
      <color indexed="12"/>
      <name val="VNI-Times"/>
      <family val="0"/>
    </font>
    <font>
      <b/>
      <i/>
      <sz val="16"/>
      <name val="Helv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" fontId="7" fillId="0" borderId="1" applyBorder="0" applyAlignment="0">
      <protection/>
    </xf>
    <xf numFmtId="0" fontId="8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Alignment="0" applyProtection="0"/>
    <xf numFmtId="0" fontId="12" fillId="0" borderId="3">
      <alignment horizontal="lef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5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4" applyNumberFormat="0" applyFont="0" applyFill="0" applyAlignment="0" applyProtection="0"/>
    <xf numFmtId="3" fontId="16" fillId="0" borderId="0" applyNumberFormat="0" applyBorder="0" applyAlignment="0" applyProtection="0"/>
    <xf numFmtId="3" fontId="7" fillId="0" borderId="0">
      <alignment/>
      <protection locked="0"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0" fillId="0" borderId="0">
      <alignment/>
      <protection/>
    </xf>
  </cellStyleXfs>
  <cellXfs count="246">
    <xf numFmtId="0" fontId="0" fillId="0" borderId="0" xfId="0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172" fontId="2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3" fontId="2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21" fillId="0" borderId="1" xfId="45" applyNumberFormat="1" applyFont="1" applyBorder="1" applyAlignment="1">
      <alignment horizontal="center" vertical="top" wrapText="1"/>
      <protection/>
    </xf>
    <xf numFmtId="3" fontId="21" fillId="0" borderId="8" xfId="45" applyNumberFormat="1" applyFont="1" applyBorder="1" applyAlignment="1">
      <alignment horizontal="center" wrapText="1"/>
      <protection/>
    </xf>
    <xf numFmtId="3" fontId="21" fillId="0" borderId="8" xfId="45" applyNumberFormat="1" applyFont="1" applyBorder="1" applyAlignment="1">
      <alignment wrapText="1"/>
      <protection/>
    </xf>
    <xf numFmtId="3" fontId="21" fillId="0" borderId="0" xfId="0" applyNumberFormat="1" applyFont="1" applyAlignment="1">
      <alignment wrapText="1"/>
    </xf>
    <xf numFmtId="3" fontId="21" fillId="0" borderId="5" xfId="45" applyNumberFormat="1" applyFont="1" applyBorder="1" applyAlignment="1">
      <alignment vertical="top" wrapText="1"/>
      <protection/>
    </xf>
    <xf numFmtId="3" fontId="21" fillId="0" borderId="5" xfId="45" applyNumberFormat="1" applyFont="1" applyBorder="1" applyAlignment="1">
      <alignment vertical="top" wrapText="1"/>
      <protection/>
    </xf>
    <xf numFmtId="3" fontId="25" fillId="0" borderId="5" xfId="45" applyNumberFormat="1" applyFont="1" applyBorder="1" applyAlignment="1">
      <alignment vertical="top" wrapText="1"/>
      <protection/>
    </xf>
    <xf numFmtId="3" fontId="25" fillId="0" borderId="0" xfId="0" applyNumberFormat="1" applyFont="1" applyAlignment="1">
      <alignment vertical="top" wrapText="1"/>
    </xf>
    <xf numFmtId="3" fontId="2" fillId="0" borderId="5" xfId="45" applyNumberFormat="1" applyFont="1" applyBorder="1" applyAlignment="1">
      <alignment vertical="top" wrapText="1"/>
      <protection/>
    </xf>
    <xf numFmtId="3" fontId="2" fillId="0" borderId="5" xfId="45" applyNumberFormat="1" applyFont="1" applyBorder="1" applyAlignment="1" quotePrefix="1">
      <alignment vertical="top" wrapText="1"/>
      <protection/>
    </xf>
    <xf numFmtId="3" fontId="2" fillId="0" borderId="5" xfId="45" applyNumberFormat="1" applyFont="1" applyBorder="1" applyAlignment="1">
      <alignment vertical="top" wrapText="1"/>
      <protection/>
    </xf>
    <xf numFmtId="3" fontId="25" fillId="0" borderId="0" xfId="0" applyNumberFormat="1" applyFont="1" applyAlignment="1">
      <alignment vertical="top" wrapText="1"/>
    </xf>
    <xf numFmtId="3" fontId="24" fillId="0" borderId="5" xfId="45" applyNumberFormat="1" applyFont="1" applyBorder="1" applyAlignment="1">
      <alignment vertical="top" wrapText="1"/>
      <protection/>
    </xf>
    <xf numFmtId="3" fontId="21" fillId="0" borderId="5" xfId="45" applyNumberFormat="1" applyFont="1" applyBorder="1" applyAlignment="1">
      <alignment horizontal="center" vertical="top" wrapText="1"/>
      <protection/>
    </xf>
    <xf numFmtId="3" fontId="24" fillId="0" borderId="5" xfId="45" applyNumberFormat="1" applyFont="1" applyBorder="1" applyAlignment="1">
      <alignment vertical="top" wrapText="1"/>
      <protection/>
    </xf>
    <xf numFmtId="3" fontId="24" fillId="0" borderId="0" xfId="0" applyNumberFormat="1" applyFont="1" applyAlignment="1">
      <alignment vertical="top" wrapText="1"/>
    </xf>
    <xf numFmtId="3" fontId="26" fillId="0" borderId="5" xfId="45" applyNumberFormat="1" applyFont="1" applyBorder="1" applyAlignment="1" quotePrefix="1">
      <alignment vertical="top" wrapText="1"/>
      <protection/>
    </xf>
    <xf numFmtId="3" fontId="21" fillId="0" borderId="0" xfId="0" applyNumberFormat="1" applyFont="1" applyAlignment="1">
      <alignment vertical="top" wrapText="1"/>
    </xf>
    <xf numFmtId="3" fontId="21" fillId="0" borderId="9" xfId="0" applyNumberFormat="1" applyFont="1" applyBorder="1" applyAlignment="1">
      <alignment vertical="top" wrapText="1"/>
    </xf>
    <xf numFmtId="3" fontId="21" fillId="0" borderId="9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3" fontId="2" fillId="0" borderId="0" xfId="0" applyNumberFormat="1" applyFont="1" applyAlignment="1" quotePrefix="1">
      <alignment horizontal="left" vertical="top" wrapText="1"/>
    </xf>
    <xf numFmtId="0" fontId="2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26" fillId="0" borderId="5" xfId="0" applyFont="1" applyBorder="1" applyAlignment="1">
      <alignment horizontal="center"/>
    </xf>
    <xf numFmtId="0" fontId="26" fillId="0" borderId="5" xfId="0" applyFont="1" applyBorder="1" applyAlignment="1">
      <alignment/>
    </xf>
    <xf numFmtId="172" fontId="21" fillId="0" borderId="5" xfId="0" applyNumberFormat="1" applyFont="1" applyBorder="1" applyAlignment="1">
      <alignment/>
    </xf>
    <xf numFmtId="0" fontId="2" fillId="0" borderId="5" xfId="0" applyFont="1" applyBorder="1" applyAlignment="1" quotePrefix="1">
      <alignment/>
    </xf>
    <xf numFmtId="172" fontId="2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2" fontId="4" fillId="0" borderId="5" xfId="0" applyNumberFormat="1" applyFont="1" applyBorder="1" applyAlignment="1">
      <alignment/>
    </xf>
    <xf numFmtId="0" fontId="26" fillId="0" borderId="6" xfId="0" applyFont="1" applyBorder="1" applyAlignment="1">
      <alignment horizontal="center"/>
    </xf>
    <xf numFmtId="172" fontId="21" fillId="0" borderId="6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right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" fillId="0" borderId="13" xfId="0" applyFont="1" applyBorder="1" applyAlignment="1" quotePrefix="1">
      <alignment/>
    </xf>
    <xf numFmtId="0" fontId="21" fillId="0" borderId="5" xfId="0" applyFont="1" applyBorder="1" applyAlignment="1">
      <alignment horizontal="center" vertical="top"/>
    </xf>
    <xf numFmtId="0" fontId="21" fillId="0" borderId="13" xfId="0" applyFont="1" applyBorder="1" applyAlignment="1">
      <alignment horizontal="justify" vertical="justify"/>
    </xf>
    <xf numFmtId="172" fontId="21" fillId="0" borderId="5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5" xfId="0" applyFont="1" applyBorder="1" applyAlignment="1">
      <alignment horizontal="justify" vertical="top"/>
    </xf>
    <xf numFmtId="0" fontId="28" fillId="0" borderId="1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3" fontId="26" fillId="0" borderId="8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31" fillId="0" borderId="5" xfId="0" applyFont="1" applyBorder="1" applyAlignment="1">
      <alignment horizontal="center"/>
    </xf>
    <xf numFmtId="0" fontId="31" fillId="0" borderId="5" xfId="0" applyFont="1" applyBorder="1" applyAlignment="1">
      <alignment/>
    </xf>
    <xf numFmtId="0" fontId="31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31" fillId="0" borderId="5" xfId="0" applyFont="1" applyBorder="1" applyAlignment="1">
      <alignment horizontal="justify" vertical="justify"/>
    </xf>
    <xf numFmtId="3" fontId="21" fillId="0" borderId="0" xfId="44" applyNumberFormat="1" applyFont="1" applyFill="1" applyBorder="1" applyAlignment="1">
      <alignment horizontal="center"/>
      <protection/>
    </xf>
    <xf numFmtId="3" fontId="21" fillId="0" borderId="0" xfId="44" applyNumberFormat="1" applyFont="1" applyFill="1" applyBorder="1" applyAlignment="1">
      <alignment horizontal="centerContinuous"/>
      <protection/>
    </xf>
    <xf numFmtId="3" fontId="21" fillId="0" borderId="0" xfId="44" applyNumberFormat="1" applyFont="1" applyFill="1" applyAlignment="1">
      <alignment horizontal="center"/>
      <protection/>
    </xf>
    <xf numFmtId="3" fontId="2" fillId="0" borderId="0" xfId="44" applyNumberFormat="1" applyFont="1" applyFill="1" applyAlignment="1">
      <alignment horizontal="centerContinuous"/>
      <protection/>
    </xf>
    <xf numFmtId="3" fontId="4" fillId="0" borderId="0" xfId="0" applyNumberFormat="1" applyFont="1" applyAlignment="1">
      <alignment/>
    </xf>
    <xf numFmtId="3" fontId="21" fillId="0" borderId="1" xfId="44" applyNumberFormat="1" applyFont="1" applyFill="1" applyBorder="1" applyAlignment="1">
      <alignment horizontal="center"/>
      <protection/>
    </xf>
    <xf numFmtId="3" fontId="2" fillId="0" borderId="5" xfId="44" applyNumberFormat="1" applyFont="1" applyFill="1" applyBorder="1" applyAlignment="1">
      <alignment horizontal="center"/>
      <protection/>
    </xf>
    <xf numFmtId="3" fontId="2" fillId="0" borderId="5" xfId="44" applyNumberFormat="1" applyFont="1" applyFill="1" applyBorder="1">
      <alignment/>
      <protection/>
    </xf>
    <xf numFmtId="3" fontId="2" fillId="0" borderId="5" xfId="44" applyNumberFormat="1" applyFont="1" applyFill="1" applyBorder="1" applyAlignment="1">
      <alignment horizontal="left"/>
      <protection/>
    </xf>
    <xf numFmtId="172" fontId="21" fillId="0" borderId="8" xfId="0" applyNumberFormat="1" applyFont="1" applyBorder="1" applyAlignment="1">
      <alignment/>
    </xf>
    <xf numFmtId="172" fontId="2" fillId="2" borderId="5" xfId="0" applyNumberFormat="1" applyFont="1" applyFill="1" applyBorder="1" applyAlignment="1">
      <alignment/>
    </xf>
    <xf numFmtId="0" fontId="24" fillId="0" borderId="5" xfId="0" applyFont="1" applyBorder="1" applyAlignment="1">
      <alignment/>
    </xf>
    <xf numFmtId="172" fontId="2" fillId="0" borderId="14" xfId="0" applyNumberFormat="1" applyFont="1" applyFill="1" applyBorder="1" applyAlignment="1">
      <alignment/>
    </xf>
    <xf numFmtId="49" fontId="24" fillId="0" borderId="5" xfId="0" applyNumberFormat="1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24" fillId="0" borderId="5" xfId="0" applyFont="1" applyBorder="1" applyAlignment="1" quotePrefix="1">
      <alignment/>
    </xf>
    <xf numFmtId="172" fontId="25" fillId="0" borderId="5" xfId="0" applyNumberFormat="1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4" fillId="0" borderId="5" xfId="0" applyFont="1" applyBorder="1" applyAlignment="1" quotePrefix="1">
      <alignment wrapText="1"/>
    </xf>
    <xf numFmtId="0" fontId="2" fillId="0" borderId="5" xfId="0" applyFont="1" applyBorder="1" applyAlignment="1">
      <alignment vertical="center" wrapText="1"/>
    </xf>
    <xf numFmtId="3" fontId="25" fillId="0" borderId="5" xfId="45" applyNumberFormat="1" applyFont="1" applyBorder="1" applyAlignment="1">
      <alignment vertical="top" wrapText="1"/>
      <protection/>
    </xf>
    <xf numFmtId="3" fontId="25" fillId="0" borderId="5" xfId="45" applyNumberFormat="1" applyFont="1" applyBorder="1" applyAlignment="1" quotePrefix="1">
      <alignment vertical="top" wrapText="1"/>
      <protection/>
    </xf>
    <xf numFmtId="3" fontId="24" fillId="0" borderId="5" xfId="45" applyNumberFormat="1" applyFont="1" applyBorder="1" applyAlignment="1" quotePrefix="1">
      <alignment vertical="top" wrapText="1"/>
      <protection/>
    </xf>
    <xf numFmtId="172" fontId="25" fillId="2" borderId="5" xfId="0" applyNumberFormat="1" applyFont="1" applyFill="1" applyBorder="1" applyAlignment="1">
      <alignment/>
    </xf>
    <xf numFmtId="3" fontId="21" fillId="0" borderId="5" xfId="45" applyNumberFormat="1" applyFont="1" applyBorder="1" applyAlignment="1">
      <alignment horizontal="left" vertical="top" wrapText="1"/>
      <protection/>
    </xf>
    <xf numFmtId="3" fontId="2" fillId="0" borderId="5" xfId="45" applyNumberFormat="1" applyFont="1" applyBorder="1" applyAlignment="1" quotePrefix="1">
      <alignment vertical="top" wrapText="1"/>
      <protection/>
    </xf>
    <xf numFmtId="3" fontId="2" fillId="0" borderId="6" xfId="45" applyNumberFormat="1" applyFont="1" applyBorder="1" applyAlignment="1" quotePrefix="1">
      <alignment vertical="top" wrapText="1"/>
      <protection/>
    </xf>
    <xf numFmtId="172" fontId="2" fillId="0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vertical="top" wrapText="1"/>
    </xf>
    <xf numFmtId="0" fontId="21" fillId="0" borderId="6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31" fillId="0" borderId="5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/>
    </xf>
    <xf numFmtId="0" fontId="31" fillId="0" borderId="6" xfId="0" applyFont="1" applyBorder="1" applyAlignment="1">
      <alignment/>
    </xf>
    <xf numFmtId="3" fontId="21" fillId="0" borderId="11" xfId="44" applyNumberFormat="1" applyFont="1" applyFill="1" applyBorder="1" applyAlignment="1">
      <alignment horizontal="center" vertical="center"/>
      <protection/>
    </xf>
    <xf numFmtId="3" fontId="21" fillId="0" borderId="14" xfId="44" applyNumberFormat="1" applyFont="1" applyFill="1" applyBorder="1" applyAlignment="1">
      <alignment horizontal="center" vertical="center"/>
      <protection/>
    </xf>
    <xf numFmtId="3" fontId="21" fillId="0" borderId="12" xfId="44" applyNumberFormat="1" applyFont="1" applyFill="1" applyBorder="1" applyAlignment="1">
      <alignment horizontal="center" vertical="center"/>
      <protection/>
    </xf>
    <xf numFmtId="3" fontId="26" fillId="0" borderId="5" xfId="0" applyNumberFormat="1" applyFont="1" applyBorder="1" applyAlignment="1">
      <alignment vertical="top" wrapText="1"/>
    </xf>
    <xf numFmtId="172" fontId="24" fillId="0" borderId="5" xfId="0" applyNumberFormat="1" applyFont="1" applyBorder="1" applyAlignment="1">
      <alignment/>
    </xf>
    <xf numFmtId="172" fontId="24" fillId="0" borderId="7" xfId="0" applyNumberFormat="1" applyFont="1" applyBorder="1" applyAlignment="1">
      <alignment/>
    </xf>
    <xf numFmtId="172" fontId="24" fillId="0" borderId="8" xfId="0" applyNumberFormat="1" applyFont="1" applyBorder="1" applyAlignment="1">
      <alignment/>
    </xf>
    <xf numFmtId="172" fontId="25" fillId="0" borderId="7" xfId="0" applyNumberFormat="1" applyFont="1" applyBorder="1" applyAlignment="1">
      <alignment/>
    </xf>
    <xf numFmtId="3" fontId="2" fillId="0" borderId="15" xfId="45" applyNumberFormat="1" applyFont="1" applyBorder="1" applyAlignment="1">
      <alignment vertical="top" wrapText="1"/>
      <protection/>
    </xf>
    <xf numFmtId="3" fontId="2" fillId="0" borderId="5" xfId="44" applyNumberFormat="1" applyFont="1" applyFill="1" applyBorder="1" quotePrefix="1">
      <alignment/>
      <protection/>
    </xf>
    <xf numFmtId="3" fontId="21" fillId="0" borderId="5" xfId="44" applyNumberFormat="1" applyFont="1" applyFill="1" applyBorder="1" quotePrefix="1">
      <alignment/>
      <protection/>
    </xf>
    <xf numFmtId="3" fontId="21" fillId="0" borderId="5" xfId="44" applyNumberFormat="1" applyFont="1" applyFill="1" applyBorder="1">
      <alignment/>
      <protection/>
    </xf>
    <xf numFmtId="3" fontId="21" fillId="0" borderId="5" xfId="44" applyNumberFormat="1" applyFont="1" applyFill="1" applyBorder="1" applyAlignment="1">
      <alignment horizontal="left"/>
      <protection/>
    </xf>
    <xf numFmtId="3" fontId="2" fillId="0" borderId="5" xfId="44" applyNumberFormat="1" applyFont="1" applyFill="1" applyBorder="1" applyAlignment="1">
      <alignment wrapText="1"/>
      <protection/>
    </xf>
    <xf numFmtId="3" fontId="2" fillId="0" borderId="10" xfId="44" applyNumberFormat="1" applyFont="1" applyFill="1" applyBorder="1" applyAlignment="1">
      <alignment horizontal="center"/>
      <protection/>
    </xf>
    <xf numFmtId="3" fontId="21" fillId="0" borderId="10" xfId="44" applyNumberFormat="1" applyFont="1" applyFill="1" applyBorder="1">
      <alignment/>
      <protection/>
    </xf>
    <xf numFmtId="0" fontId="4" fillId="0" borderId="5" xfId="0" applyFont="1" applyBorder="1" applyAlignment="1">
      <alignment/>
    </xf>
    <xf numFmtId="3" fontId="2" fillId="0" borderId="6" xfId="44" applyNumberFormat="1" applyFont="1" applyFill="1" applyBorder="1" applyAlignment="1">
      <alignment horizontal="center"/>
      <protection/>
    </xf>
    <xf numFmtId="3" fontId="21" fillId="0" borderId="6" xfId="44" applyNumberFormat="1" applyFont="1" applyFill="1" applyBorder="1">
      <alignment/>
      <protection/>
    </xf>
    <xf numFmtId="3" fontId="2" fillId="0" borderId="0" xfId="0" applyNumberFormat="1" applyFont="1" applyFill="1" applyAlignment="1">
      <alignment vertical="top" wrapText="1"/>
    </xf>
    <xf numFmtId="183" fontId="2" fillId="0" borderId="0" xfId="29" applyNumberFormat="1" applyFont="1" applyAlignment="1">
      <alignment/>
    </xf>
    <xf numFmtId="172" fontId="33" fillId="0" borderId="5" xfId="0" applyNumberFormat="1" applyFont="1" applyBorder="1" applyAlignment="1">
      <alignment/>
    </xf>
    <xf numFmtId="183" fontId="4" fillId="0" borderId="0" xfId="29" applyNumberFormat="1" applyFont="1" applyAlignment="1">
      <alignment/>
    </xf>
    <xf numFmtId="49" fontId="24" fillId="0" borderId="5" xfId="0" applyNumberFormat="1" applyFont="1" applyBorder="1" applyAlignment="1" quotePrefix="1">
      <alignment/>
    </xf>
    <xf numFmtId="172" fontId="2" fillId="0" borderId="5" xfId="0" applyNumberFormat="1" applyFont="1" applyFill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7" xfId="0" applyFont="1" applyBorder="1" applyAlignment="1">
      <alignment/>
    </xf>
    <xf numFmtId="183" fontId="34" fillId="0" borderId="0" xfId="29" applyNumberFormat="1" applyFont="1" applyFill="1" applyBorder="1" applyAlignment="1">
      <alignment horizontal="centerContinuous"/>
    </xf>
    <xf numFmtId="3" fontId="35" fillId="0" borderId="0" xfId="29" applyNumberFormat="1" applyFont="1" applyFill="1" applyBorder="1" applyAlignment="1">
      <alignment horizontal="centerContinuous"/>
    </xf>
    <xf numFmtId="43" fontId="35" fillId="0" borderId="0" xfId="29" applyFont="1" applyFill="1" applyBorder="1" applyAlignment="1">
      <alignment horizontal="centerContinuous"/>
    </xf>
    <xf numFmtId="3" fontId="35" fillId="0" borderId="0" xfId="44" applyNumberFormat="1" applyFont="1" applyFill="1" applyBorder="1" applyAlignment="1">
      <alignment horizontal="centerContinuous"/>
      <protection/>
    </xf>
    <xf numFmtId="3" fontId="35" fillId="0" borderId="0" xfId="44" applyNumberFormat="1" applyFont="1" applyFill="1">
      <alignment/>
      <protection/>
    </xf>
    <xf numFmtId="0" fontId="35" fillId="0" borderId="0" xfId="44" applyFont="1" applyFill="1">
      <alignment/>
      <protection/>
    </xf>
    <xf numFmtId="183" fontId="34" fillId="0" borderId="0" xfId="29" applyNumberFormat="1" applyFont="1" applyFill="1" applyAlignment="1">
      <alignment horizontal="centerContinuous"/>
    </xf>
    <xf numFmtId="183" fontId="34" fillId="0" borderId="1" xfId="29" applyNumberFormat="1" applyFont="1" applyFill="1" applyBorder="1" applyAlignment="1">
      <alignment horizontal="center"/>
    </xf>
    <xf numFmtId="3" fontId="34" fillId="0" borderId="1" xfId="44" applyNumberFormat="1" applyFont="1" applyFill="1" applyBorder="1" applyAlignment="1">
      <alignment horizontal="center"/>
      <protection/>
    </xf>
    <xf numFmtId="3" fontId="27" fillId="0" borderId="1" xfId="44" applyNumberFormat="1" applyFont="1" applyFill="1" applyBorder="1" applyAlignment="1">
      <alignment horizontal="center"/>
      <protection/>
    </xf>
    <xf numFmtId="3" fontId="27" fillId="0" borderId="1" xfId="44" applyNumberFormat="1" applyFont="1" applyFill="1" applyBorder="1">
      <alignment/>
      <protection/>
    </xf>
    <xf numFmtId="183" fontId="34" fillId="0" borderId="1" xfId="29" applyNumberFormat="1" applyFont="1" applyFill="1" applyBorder="1" applyAlignment="1">
      <alignment horizontal="right"/>
    </xf>
    <xf numFmtId="183" fontId="34" fillId="0" borderId="10" xfId="29" applyNumberFormat="1" applyFont="1" applyFill="1" applyBorder="1" applyAlignment="1">
      <alignment horizontal="right"/>
    </xf>
    <xf numFmtId="183" fontId="34" fillId="0" borderId="5" xfId="29" applyNumberFormat="1" applyFont="1" applyFill="1" applyBorder="1" applyAlignment="1">
      <alignment horizontal="right"/>
    </xf>
    <xf numFmtId="3" fontId="35" fillId="0" borderId="5" xfId="44" applyNumberFormat="1" applyFont="1" applyFill="1" applyBorder="1" applyAlignment="1">
      <alignment horizontal="right"/>
      <protection/>
    </xf>
    <xf numFmtId="183" fontId="35" fillId="0" borderId="5" xfId="29" applyNumberFormat="1" applyFont="1" applyFill="1" applyBorder="1" applyAlignment="1">
      <alignment horizontal="right"/>
    </xf>
    <xf numFmtId="183" fontId="35" fillId="0" borderId="5" xfId="44" applyNumberFormat="1" applyFont="1" applyFill="1" applyBorder="1" applyAlignment="1">
      <alignment horizontal="right"/>
      <protection/>
    </xf>
    <xf numFmtId="0" fontId="35" fillId="0" borderId="5" xfId="0" applyFont="1" applyBorder="1" applyAlignment="1">
      <alignment/>
    </xf>
    <xf numFmtId="3" fontId="35" fillId="0" borderId="5" xfId="44" applyNumberFormat="1" applyFont="1" applyFill="1" applyBorder="1">
      <alignment/>
      <protection/>
    </xf>
    <xf numFmtId="3" fontId="2" fillId="0" borderId="5" xfId="44" applyNumberFormat="1" applyFont="1" applyFill="1" applyBorder="1" applyAlignment="1" quotePrefix="1">
      <alignment horizontal="left"/>
      <protection/>
    </xf>
    <xf numFmtId="3" fontId="36" fillId="0" borderId="5" xfId="29" applyNumberFormat="1" applyFont="1" applyFill="1" applyBorder="1" applyAlignment="1">
      <alignment/>
    </xf>
    <xf numFmtId="183" fontId="34" fillId="0" borderId="6" xfId="29" applyNumberFormat="1" applyFont="1" applyFill="1" applyBorder="1" applyAlignment="1">
      <alignment horizontal="right"/>
    </xf>
    <xf numFmtId="3" fontId="35" fillId="0" borderId="6" xfId="44" applyNumberFormat="1" applyFont="1" applyFill="1" applyBorder="1" applyAlignment="1">
      <alignment horizontal="right"/>
      <protection/>
    </xf>
    <xf numFmtId="183" fontId="34" fillId="0" borderId="1" xfId="29" applyNumberFormat="1" applyFont="1" applyFill="1" applyBorder="1" applyAlignment="1">
      <alignment/>
    </xf>
    <xf numFmtId="183" fontId="34" fillId="0" borderId="0" xfId="29" applyNumberFormat="1" applyFont="1" applyAlignment="1">
      <alignment/>
    </xf>
    <xf numFmtId="0" fontId="35" fillId="0" borderId="0" xfId="0" applyFont="1" applyAlignment="1">
      <alignment/>
    </xf>
    <xf numFmtId="172" fontId="25" fillId="0" borderId="5" xfId="0" applyNumberFormat="1" applyFont="1" applyBorder="1" applyAlignment="1">
      <alignment vertical="center"/>
    </xf>
    <xf numFmtId="172" fontId="21" fillId="0" borderId="5" xfId="0" applyNumberFormat="1" applyFont="1" applyBorder="1" applyAlignment="1">
      <alignment vertical="center"/>
    </xf>
    <xf numFmtId="172" fontId="21" fillId="0" borderId="14" xfId="0" applyNumberFormat="1" applyFont="1" applyBorder="1" applyAlignment="1">
      <alignment vertical="center"/>
    </xf>
    <xf numFmtId="172" fontId="21" fillId="0" borderId="7" xfId="0" applyNumberFormat="1" applyFont="1" applyBorder="1" applyAlignment="1">
      <alignment vertical="center"/>
    </xf>
    <xf numFmtId="172" fontId="21" fillId="0" borderId="5" xfId="0" applyNumberFormat="1" applyFont="1" applyFill="1" applyBorder="1" applyAlignment="1">
      <alignment vertical="center"/>
    </xf>
    <xf numFmtId="172" fontId="21" fillId="0" borderId="6" xfId="0" applyNumberFormat="1" applyFont="1" applyBorder="1" applyAlignment="1">
      <alignment vertical="center"/>
    </xf>
    <xf numFmtId="172" fontId="25" fillId="0" borderId="8" xfId="0" applyNumberFormat="1" applyFont="1" applyBorder="1" applyAlignment="1">
      <alignment/>
    </xf>
    <xf numFmtId="3" fontId="2" fillId="0" borderId="16" xfId="44" applyNumberFormat="1" applyFont="1" applyFill="1" applyBorder="1" applyAlignment="1">
      <alignment horizontal="center"/>
      <protection/>
    </xf>
    <xf numFmtId="3" fontId="2" fillId="0" borderId="17" xfId="44" applyNumberFormat="1" applyFont="1" applyFill="1" applyBorder="1" applyAlignment="1">
      <alignment horizontal="center"/>
      <protection/>
    </xf>
    <xf numFmtId="3" fontId="21" fillId="0" borderId="18" xfId="44" applyNumberFormat="1" applyFont="1" applyFill="1" applyBorder="1">
      <alignment/>
      <protection/>
    </xf>
    <xf numFmtId="183" fontId="34" fillId="0" borderId="12" xfId="29" applyNumberFormat="1" applyFont="1" applyFill="1" applyBorder="1" applyAlignment="1">
      <alignment horizontal="right"/>
    </xf>
    <xf numFmtId="3" fontId="35" fillId="0" borderId="12" xfId="44" applyNumberFormat="1" applyFont="1" applyFill="1" applyBorder="1" applyAlignment="1">
      <alignment horizontal="right"/>
      <protection/>
    </xf>
    <xf numFmtId="3" fontId="34" fillId="0" borderId="5" xfId="44" applyNumberFormat="1" applyFont="1" applyFill="1" applyBorder="1" applyAlignment="1">
      <alignment horizontal="right"/>
      <protection/>
    </xf>
    <xf numFmtId="3" fontId="34" fillId="0" borderId="10" xfId="44" applyNumberFormat="1" applyFont="1" applyFill="1" applyBorder="1" applyAlignment="1">
      <alignment horizontal="right"/>
      <protection/>
    </xf>
    <xf numFmtId="3" fontId="34" fillId="0" borderId="5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83" fontId="35" fillId="0" borderId="0" xfId="0" applyNumberFormat="1" applyFont="1" applyAlignment="1">
      <alignment/>
    </xf>
    <xf numFmtId="183" fontId="35" fillId="0" borderId="5" xfId="29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5" xfId="44" applyNumberFormat="1" applyFont="1" applyFill="1" applyBorder="1" applyAlignment="1" quotePrefix="1">
      <alignment wrapText="1"/>
      <protection/>
    </xf>
    <xf numFmtId="0" fontId="4" fillId="0" borderId="1" xfId="0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" fillId="0" borderId="5" xfId="0" applyFont="1" applyBorder="1" applyAlignment="1" quotePrefix="1">
      <alignment wrapText="1"/>
    </xf>
    <xf numFmtId="0" fontId="28" fillId="0" borderId="5" xfId="0" applyFont="1" applyBorder="1" applyAlignment="1">
      <alignment wrapText="1"/>
    </xf>
    <xf numFmtId="0" fontId="26" fillId="0" borderId="6" xfId="0" applyFont="1" applyBorder="1" applyAlignment="1">
      <alignment wrapText="1"/>
    </xf>
    <xf numFmtId="3" fontId="22" fillId="0" borderId="0" xfId="45" applyNumberFormat="1" applyFont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3" fontId="21" fillId="0" borderId="1" xfId="45" applyNumberFormat="1" applyFont="1" applyBorder="1" applyAlignment="1">
      <alignment horizontal="center" vertical="center" wrapText="1"/>
      <protection/>
    </xf>
    <xf numFmtId="0" fontId="0" fillId="0" borderId="1" xfId="45" applyBorder="1">
      <alignment/>
      <protection/>
    </xf>
    <xf numFmtId="3" fontId="2" fillId="0" borderId="17" xfId="45" applyNumberFormat="1" applyFont="1" applyBorder="1" applyAlignment="1">
      <alignment horizontal="right"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justify"/>
    </xf>
    <xf numFmtId="0" fontId="21" fillId="0" borderId="3" xfId="0" applyFont="1" applyBorder="1" applyAlignment="1">
      <alignment horizontal="center" vertical="justify"/>
    </xf>
    <xf numFmtId="0" fontId="21" fillId="0" borderId="20" xfId="0" applyFont="1" applyBorder="1" applyAlignment="1">
      <alignment horizontal="center" vertical="justify"/>
    </xf>
    <xf numFmtId="0" fontId="27" fillId="0" borderId="11" xfId="0" applyFont="1" applyBorder="1" applyAlignment="1">
      <alignment horizontal="justify" vertical="center"/>
    </xf>
    <xf numFmtId="0" fontId="27" fillId="0" borderId="12" xfId="0" applyFont="1" applyBorder="1" applyAlignment="1">
      <alignment horizontal="justify" vertical="center"/>
    </xf>
    <xf numFmtId="0" fontId="27" fillId="0" borderId="19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1" fillId="0" borderId="19" xfId="44" applyNumberFormat="1" applyFont="1" applyFill="1" applyBorder="1" applyAlignment="1">
      <alignment horizontal="center"/>
      <protection/>
    </xf>
    <xf numFmtId="3" fontId="21" fillId="0" borderId="3" xfId="44" applyNumberFormat="1" applyFont="1" applyFill="1" applyBorder="1" applyAlignment="1">
      <alignment horizontal="center"/>
      <protection/>
    </xf>
    <xf numFmtId="3" fontId="21" fillId="0" borderId="20" xfId="44" applyNumberFormat="1" applyFont="1" applyFill="1" applyBorder="1" applyAlignment="1">
      <alignment horizontal="center"/>
      <protection/>
    </xf>
    <xf numFmtId="3" fontId="21" fillId="0" borderId="0" xfId="44" applyNumberFormat="1" applyFont="1" applyFill="1" applyBorder="1" applyAlignment="1">
      <alignment horizontal="center"/>
      <protection/>
    </xf>
    <xf numFmtId="3" fontId="21" fillId="0" borderId="11" xfId="44" applyNumberFormat="1" applyFont="1" applyFill="1" applyBorder="1" applyAlignment="1">
      <alignment horizontal="center" vertical="center"/>
      <protection/>
    </xf>
    <xf numFmtId="3" fontId="21" fillId="0" borderId="14" xfId="44" applyNumberFormat="1" applyFont="1" applyFill="1" applyBorder="1" applyAlignment="1">
      <alignment horizontal="center" vertical="center"/>
      <protection/>
    </xf>
    <xf numFmtId="3" fontId="21" fillId="0" borderId="12" xfId="44" applyNumberFormat="1" applyFont="1" applyFill="1" applyBorder="1" applyAlignment="1">
      <alignment horizontal="center" vertical="center"/>
      <protection/>
    </xf>
    <xf numFmtId="3" fontId="27" fillId="0" borderId="10" xfId="44" applyNumberFormat="1" applyFont="1" applyFill="1" applyBorder="1" applyAlignment="1">
      <alignment horizontal="center" vertical="center" wrapText="1"/>
      <protection/>
    </xf>
    <xf numFmtId="3" fontId="27" fillId="0" borderId="5" xfId="44" applyNumberFormat="1" applyFont="1" applyFill="1" applyBorder="1" applyAlignment="1">
      <alignment horizontal="center" vertical="center" wrapText="1"/>
      <protection/>
    </xf>
    <xf numFmtId="3" fontId="27" fillId="0" borderId="7" xfId="44" applyNumberFormat="1" applyFont="1" applyFill="1" applyBorder="1" applyAlignment="1">
      <alignment horizontal="center" vertical="center" wrapText="1"/>
      <protection/>
    </xf>
    <xf numFmtId="3" fontId="27" fillId="0" borderId="11" xfId="44" applyNumberFormat="1" applyFont="1" applyFill="1" applyBorder="1" applyAlignment="1">
      <alignment horizontal="center" vertical="center" wrapText="1"/>
      <protection/>
    </xf>
    <xf numFmtId="3" fontId="27" fillId="0" borderId="12" xfId="44" applyNumberFormat="1" applyFont="1" applyFill="1" applyBorder="1" applyAlignment="1">
      <alignment horizontal="center" vertical="center"/>
      <protection/>
    </xf>
    <xf numFmtId="44" fontId="27" fillId="0" borderId="19" xfId="32" applyFont="1" applyFill="1" applyBorder="1" applyAlignment="1">
      <alignment horizontal="center" vertical="center" wrapText="1"/>
    </xf>
    <xf numFmtId="0" fontId="4" fillId="0" borderId="3" xfId="44" applyFont="1" applyFill="1" applyBorder="1" applyAlignment="1">
      <alignment horizontal="center" vertical="center" wrapText="1"/>
      <protection/>
    </xf>
    <xf numFmtId="3" fontId="27" fillId="0" borderId="14" xfId="44" applyNumberFormat="1" applyFont="1" applyFill="1" applyBorder="1" applyAlignment="1">
      <alignment horizontal="center" vertical="center" wrapText="1"/>
      <protection/>
    </xf>
    <xf numFmtId="3" fontId="27" fillId="0" borderId="12" xfId="44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3" fontId="27" fillId="0" borderId="11" xfId="29" applyNumberFormat="1" applyFont="1" applyFill="1" applyBorder="1" applyAlignment="1">
      <alignment horizontal="center" vertical="center" wrapText="1"/>
    </xf>
    <xf numFmtId="183" fontId="27" fillId="0" borderId="12" xfId="29" applyNumberFormat="1" applyFont="1" applyFill="1" applyBorder="1" applyAlignment="1">
      <alignment horizontal="center" vertical="center" wrapText="1"/>
    </xf>
    <xf numFmtId="0" fontId="2" fillId="0" borderId="17" xfId="44" applyFont="1" applyFill="1" applyBorder="1" applyAlignment="1">
      <alignment horizontal="right" vertical="center"/>
      <protection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0" xfId="22"/>
    <cellStyle name="20" xfId="23"/>
    <cellStyle name="AeE­_INQUIRY ¿μ¾÷AßAø " xfId="24"/>
    <cellStyle name="AÞ¸¶ [0]_INQUIRY ¿?¾÷AßAø " xfId="25"/>
    <cellStyle name="AÞ¸¶_INQUIRY ¿?¾÷AßAø " xfId="26"/>
    <cellStyle name="C?AØ_¿?¾÷CoE² " xfId="27"/>
    <cellStyle name="C￥AØ_¿μ¾÷CoE² " xfId="28"/>
    <cellStyle name="Comma" xfId="29"/>
    <cellStyle name="Comma [0]" xfId="30"/>
    <cellStyle name="Comma0" xfId="31"/>
    <cellStyle name="Currency" xfId="32"/>
    <cellStyle name="Currency [0]" xfId="33"/>
    <cellStyle name="Currency0" xfId="34"/>
    <cellStyle name="Date" xfId="35"/>
    <cellStyle name="Fixed" xfId="36"/>
    <cellStyle name="Followed Hyperlink" xfId="37"/>
    <cellStyle name="Header1" xfId="38"/>
    <cellStyle name="Header2" xfId="39"/>
    <cellStyle name="Heading 1" xfId="40"/>
    <cellStyle name="Heading 2" xfId="41"/>
    <cellStyle name="Hyperlink" xfId="42"/>
    <cellStyle name="Normal - Style1" xfId="43"/>
    <cellStyle name="Normal_A.thai bc cong khai tc" xfId="44"/>
    <cellStyle name="Normal_KH DC 2009 gui HĐND" xfId="45"/>
    <cellStyle name="Percent" xfId="46"/>
    <cellStyle name="Total" xfId="47"/>
    <cellStyle name="Vn Time 13" xfId="48"/>
    <cellStyle name="Vn Time 14" xfId="49"/>
    <cellStyle name="똿뗦먛귟 [0.00]_PRODUCT DETAIL Q1" xfId="50"/>
    <cellStyle name="똿뗦먛귟_PRODUCT DETAIL Q1" xfId="51"/>
    <cellStyle name="믅됞 [0.00]_PRODUCT DETAIL Q1" xfId="52"/>
    <cellStyle name="믅됞_PRODUCT DETAIL Q1" xfId="53"/>
    <cellStyle name="백분율_HOBONG" xfId="54"/>
    <cellStyle name="뷭?_BOOKSHIP" xfId="55"/>
    <cellStyle name="콤마 [0]_1202" xfId="56"/>
    <cellStyle name="콤마_1202" xfId="57"/>
    <cellStyle name="통화 [0]_1202" xfId="58"/>
    <cellStyle name="통화_1202" xfId="59"/>
    <cellStyle name="표준_(정보부문)월별인원계획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anphong\LOCALS~1\Temp\BANG%20TANG%20G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E_2001\B-CAOQ~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XL4Test5"/>
      <sheetName val="XL4Poppy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SDL"/>
      <sheetName val="toketoanCND MSTS"/>
      <sheetName val="TSKH"/>
    </sheetNames>
    <sheetDataSet>
      <sheetData sheetId="0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7"/>
  <sheetViews>
    <sheetView workbookViewId="0" topLeftCell="A3">
      <selection activeCell="A5" sqref="A5:C5"/>
    </sheetView>
  </sheetViews>
  <sheetFormatPr defaultColWidth="9.140625" defaultRowHeight="12.75"/>
  <cols>
    <col min="1" max="1" width="75.8515625" style="12" customWidth="1"/>
    <col min="2" max="2" width="19.57421875" style="12" customWidth="1"/>
    <col min="3" max="16384" width="9.140625" style="12" customWidth="1"/>
  </cols>
  <sheetData>
    <row r="1" ht="15.75" hidden="1">
      <c r="A1" s="11" t="s">
        <v>183</v>
      </c>
    </row>
    <row r="2" ht="15.75" hidden="1"/>
    <row r="3" spans="1:2" ht="22.5" customHeight="1">
      <c r="A3" s="194" t="s">
        <v>436</v>
      </c>
      <c r="B3" s="194"/>
    </row>
    <row r="4" spans="1:2" ht="29.25" customHeight="1">
      <c r="A4" s="194" t="s">
        <v>184</v>
      </c>
      <c r="B4" s="194"/>
    </row>
    <row r="5" spans="1:3" ht="15.75">
      <c r="A5" s="195" t="s">
        <v>511</v>
      </c>
      <c r="B5" s="195"/>
      <c r="C5" s="195"/>
    </row>
    <row r="6" spans="1:2" ht="31.5" customHeight="1">
      <c r="A6" s="198" t="s">
        <v>452</v>
      </c>
      <c r="B6" s="198"/>
    </row>
    <row r="7" spans="1:2" ht="15.75" customHeight="1">
      <c r="A7" s="196" t="s">
        <v>185</v>
      </c>
      <c r="B7" s="196" t="s">
        <v>361</v>
      </c>
    </row>
    <row r="8" spans="1:2" s="13" customFormat="1" ht="15.75" customHeight="1">
      <c r="A8" s="197"/>
      <c r="B8" s="197"/>
    </row>
    <row r="9" spans="1:2" s="13" customFormat="1" ht="15.75">
      <c r="A9" s="197"/>
      <c r="B9" s="197"/>
    </row>
    <row r="10" spans="1:2" ht="15.75">
      <c r="A10" s="14">
        <v>1</v>
      </c>
      <c r="B10" s="14" t="s">
        <v>186</v>
      </c>
    </row>
    <row r="11" spans="1:2" s="17" customFormat="1" ht="24.75" customHeight="1">
      <c r="A11" s="15" t="s">
        <v>187</v>
      </c>
      <c r="B11" s="16">
        <f>B12+B70</f>
        <v>3800000</v>
      </c>
    </row>
    <row r="12" spans="1:2" s="11" customFormat="1" ht="15.75">
      <c r="A12" s="18" t="s">
        <v>188</v>
      </c>
      <c r="B12" s="19">
        <f>B13+B65+B69</f>
        <v>3380000</v>
      </c>
    </row>
    <row r="13" spans="1:2" s="11" customFormat="1" ht="15.75" customHeight="1">
      <c r="A13" s="18" t="s">
        <v>189</v>
      </c>
      <c r="B13" s="19">
        <f>B14+B23+B31+B40+B47+B48+B49+B50+B51+B52+B53+B54+B55+B56</f>
        <v>3230000</v>
      </c>
    </row>
    <row r="14" spans="1:2" s="21" customFormat="1" ht="15.75">
      <c r="A14" s="101" t="s">
        <v>190</v>
      </c>
      <c r="B14" s="20">
        <f>B15+B16+B18+B21+B22</f>
        <v>772000</v>
      </c>
    </row>
    <row r="15" spans="1:2" ht="15.75">
      <c r="A15" s="23" t="s">
        <v>191</v>
      </c>
      <c r="B15" s="22">
        <v>196000</v>
      </c>
    </row>
    <row r="16" spans="1:4" ht="15.75">
      <c r="A16" s="23" t="s">
        <v>192</v>
      </c>
      <c r="B16" s="22">
        <v>568000</v>
      </c>
      <c r="D16" s="134"/>
    </row>
    <row r="17" spans="1:2" ht="15.75">
      <c r="A17" s="23" t="s">
        <v>193</v>
      </c>
      <c r="B17" s="22">
        <v>0</v>
      </c>
    </row>
    <row r="18" spans="1:2" ht="15.75">
      <c r="A18" s="24" t="s">
        <v>194</v>
      </c>
      <c r="B18" s="22">
        <v>7500</v>
      </c>
    </row>
    <row r="19" spans="1:2" ht="15.75">
      <c r="A19" s="26" t="s">
        <v>283</v>
      </c>
      <c r="B19" s="109"/>
    </row>
    <row r="20" spans="1:3" ht="15.75">
      <c r="A20" s="26" t="s">
        <v>284</v>
      </c>
      <c r="B20" s="26"/>
      <c r="C20" s="29"/>
    </row>
    <row r="21" spans="1:2" ht="15.75">
      <c r="A21" s="23" t="s">
        <v>195</v>
      </c>
      <c r="B21" s="22">
        <v>140</v>
      </c>
    </row>
    <row r="22" spans="1:2" ht="15.75">
      <c r="A22" s="23" t="s">
        <v>196</v>
      </c>
      <c r="B22" s="22">
        <v>360</v>
      </c>
    </row>
    <row r="23" spans="1:2" s="21" customFormat="1" ht="16.5" customHeight="1">
      <c r="A23" s="101" t="s">
        <v>197</v>
      </c>
      <c r="B23" s="20">
        <f>SUM(B24:B30)</f>
        <v>210000</v>
      </c>
    </row>
    <row r="24" spans="1:2" ht="16.5" customHeight="1">
      <c r="A24" s="23" t="s">
        <v>191</v>
      </c>
      <c r="B24" s="22">
        <v>95300</v>
      </c>
    </row>
    <row r="25" spans="1:2" ht="16.5" customHeight="1">
      <c r="A25" s="23" t="s">
        <v>192</v>
      </c>
      <c r="B25" s="22">
        <v>77000</v>
      </c>
    </row>
    <row r="26" spans="1:2" ht="16.5" customHeight="1">
      <c r="A26" s="23" t="s">
        <v>193</v>
      </c>
      <c r="B26" s="22">
        <v>0</v>
      </c>
    </row>
    <row r="27" spans="1:2" ht="16.5" customHeight="1">
      <c r="A27" s="24" t="s">
        <v>194</v>
      </c>
      <c r="B27" s="22">
        <v>37000</v>
      </c>
    </row>
    <row r="28" spans="1:2" ht="16.5" customHeight="1">
      <c r="A28" s="26" t="s">
        <v>283</v>
      </c>
      <c r="B28" s="22">
        <v>0</v>
      </c>
    </row>
    <row r="29" spans="1:2" ht="16.5" customHeight="1">
      <c r="A29" s="23" t="s">
        <v>195</v>
      </c>
      <c r="B29" s="22">
        <v>360</v>
      </c>
    </row>
    <row r="30" spans="1:2" ht="15.75">
      <c r="A30" s="23" t="s">
        <v>196</v>
      </c>
      <c r="B30" s="22">
        <v>340</v>
      </c>
    </row>
    <row r="31" spans="1:2" s="21" customFormat="1" ht="15.75">
      <c r="A31" s="101" t="s">
        <v>198</v>
      </c>
      <c r="B31" s="20">
        <f>SUM(B32:B39)</f>
        <v>60000</v>
      </c>
    </row>
    <row r="32" spans="1:2" ht="16.5" customHeight="1">
      <c r="A32" s="23" t="s">
        <v>191</v>
      </c>
      <c r="B32" s="22">
        <v>36820</v>
      </c>
    </row>
    <row r="33" spans="1:2" ht="16.5" customHeight="1">
      <c r="A33" s="23" t="s">
        <v>192</v>
      </c>
      <c r="B33" s="22">
        <v>21500</v>
      </c>
    </row>
    <row r="34" spans="1:2" ht="16.5" customHeight="1">
      <c r="A34" s="23" t="s">
        <v>193</v>
      </c>
      <c r="B34" s="22"/>
    </row>
    <row r="35" spans="1:2" ht="16.5" customHeight="1">
      <c r="A35" s="23" t="s">
        <v>285</v>
      </c>
      <c r="B35" s="22"/>
    </row>
    <row r="36" spans="1:2" ht="16.5" customHeight="1">
      <c r="A36" s="24" t="s">
        <v>194</v>
      </c>
      <c r="B36" s="22">
        <v>500</v>
      </c>
    </row>
    <row r="37" spans="1:2" ht="16.5" customHeight="1">
      <c r="A37" s="23" t="s">
        <v>195</v>
      </c>
      <c r="B37" s="22">
        <v>180</v>
      </c>
    </row>
    <row r="38" spans="1:2" ht="16.5" customHeight="1">
      <c r="A38" s="23" t="s">
        <v>199</v>
      </c>
      <c r="B38" s="22">
        <v>500</v>
      </c>
    </row>
    <row r="39" spans="1:2" ht="15.75">
      <c r="A39" s="23" t="s">
        <v>200</v>
      </c>
      <c r="B39" s="22">
        <v>500</v>
      </c>
    </row>
    <row r="40" spans="1:2" s="25" customFormat="1" ht="18.75" customHeight="1">
      <c r="A40" s="102" t="s">
        <v>286</v>
      </c>
      <c r="B40" s="20">
        <f>SUM(B41:B46)</f>
        <v>1190000</v>
      </c>
    </row>
    <row r="41" spans="1:2" ht="15.75">
      <c r="A41" s="23" t="s">
        <v>191</v>
      </c>
      <c r="B41" s="22">
        <v>1093700</v>
      </c>
    </row>
    <row r="42" spans="1:2" ht="15.75">
      <c r="A42" s="23" t="s">
        <v>192</v>
      </c>
      <c r="B42" s="22">
        <v>56300</v>
      </c>
    </row>
    <row r="43" spans="1:2" ht="15.75" customHeight="1">
      <c r="A43" s="23" t="s">
        <v>193</v>
      </c>
      <c r="B43" s="22">
        <v>2800</v>
      </c>
    </row>
    <row r="44" spans="1:2" ht="15.75">
      <c r="A44" s="24" t="s">
        <v>194</v>
      </c>
      <c r="B44" s="22">
        <v>14000</v>
      </c>
    </row>
    <row r="45" spans="1:2" ht="15.75">
      <c r="A45" s="23" t="s">
        <v>195</v>
      </c>
      <c r="B45" s="22">
        <v>11500</v>
      </c>
    </row>
    <row r="46" spans="1:2" ht="15.75">
      <c r="A46" s="23" t="s">
        <v>220</v>
      </c>
      <c r="B46" s="22">
        <v>11700</v>
      </c>
    </row>
    <row r="47" spans="1:2" s="21" customFormat="1" ht="15.75">
      <c r="A47" s="102" t="s">
        <v>201</v>
      </c>
      <c r="B47" s="96">
        <v>117000</v>
      </c>
    </row>
    <row r="48" spans="1:2" s="21" customFormat="1" ht="15.75">
      <c r="A48" s="102" t="s">
        <v>202</v>
      </c>
      <c r="B48" s="96">
        <v>1300</v>
      </c>
    </row>
    <row r="49" spans="1:2" s="21" customFormat="1" ht="15.75">
      <c r="A49" s="102" t="s">
        <v>203</v>
      </c>
      <c r="B49" s="96">
        <v>8800</v>
      </c>
    </row>
    <row r="50" spans="1:2" s="21" customFormat="1" ht="15.75">
      <c r="A50" s="102" t="s">
        <v>204</v>
      </c>
      <c r="B50" s="96">
        <v>200000</v>
      </c>
    </row>
    <row r="51" spans="1:2" s="21" customFormat="1" ht="15.75">
      <c r="A51" s="102" t="s">
        <v>205</v>
      </c>
      <c r="B51" s="104">
        <v>26400</v>
      </c>
    </row>
    <row r="52" spans="1:2" s="21" customFormat="1" ht="15.75">
      <c r="A52" s="102" t="s">
        <v>206</v>
      </c>
      <c r="B52" s="96">
        <v>34600</v>
      </c>
    </row>
    <row r="53" spans="1:2" s="21" customFormat="1" ht="15.75" customHeight="1">
      <c r="A53" s="102" t="s">
        <v>207</v>
      </c>
      <c r="B53" s="96"/>
    </row>
    <row r="54" spans="1:2" s="21" customFormat="1" ht="15.75">
      <c r="A54" s="102" t="s">
        <v>208</v>
      </c>
      <c r="B54" s="96">
        <v>543000</v>
      </c>
    </row>
    <row r="55" spans="1:2" s="21" customFormat="1" ht="15" customHeight="1">
      <c r="A55" s="102" t="s">
        <v>209</v>
      </c>
      <c r="B55" s="96">
        <v>17000</v>
      </c>
    </row>
    <row r="56" spans="1:2" s="21" customFormat="1" ht="15" customHeight="1">
      <c r="A56" s="102" t="s">
        <v>210</v>
      </c>
      <c r="B56" s="96">
        <f>46900+3000</f>
        <v>49900</v>
      </c>
    </row>
    <row r="57" spans="1:2" s="21" customFormat="1" ht="15" customHeight="1">
      <c r="A57" s="103" t="s">
        <v>258</v>
      </c>
      <c r="B57" s="5"/>
    </row>
    <row r="58" spans="1:2" s="21" customFormat="1" ht="15" customHeight="1">
      <c r="A58" s="103" t="s">
        <v>259</v>
      </c>
      <c r="B58" s="5"/>
    </row>
    <row r="59" spans="1:2" s="21" customFormat="1" ht="15" customHeight="1">
      <c r="A59" s="103" t="s">
        <v>260</v>
      </c>
      <c r="B59" s="5"/>
    </row>
    <row r="60" spans="1:2" s="21" customFormat="1" ht="15" customHeight="1">
      <c r="A60" s="103" t="s">
        <v>261</v>
      </c>
      <c r="B60" s="5"/>
    </row>
    <row r="61" spans="1:2" s="21" customFormat="1" ht="15" customHeight="1">
      <c r="A61" s="103" t="s">
        <v>262</v>
      </c>
      <c r="B61" s="5"/>
    </row>
    <row r="62" spans="1:2" s="21" customFormat="1" ht="15" customHeight="1">
      <c r="A62" s="103" t="s">
        <v>263</v>
      </c>
      <c r="B62" s="108"/>
    </row>
    <row r="63" spans="1:2" s="21" customFormat="1" ht="15" customHeight="1">
      <c r="A63" s="103" t="s">
        <v>264</v>
      </c>
      <c r="B63" s="5"/>
    </row>
    <row r="64" spans="1:2" s="21" customFormat="1" ht="15" customHeight="1">
      <c r="A64" s="103" t="s">
        <v>220</v>
      </c>
      <c r="B64" s="5"/>
    </row>
    <row r="65" spans="1:2" ht="31.5">
      <c r="A65" s="18" t="s">
        <v>211</v>
      </c>
      <c r="B65" s="118">
        <f>B66+B67</f>
        <v>150000</v>
      </c>
    </row>
    <row r="66" spans="1:2" s="21" customFormat="1" ht="15.75" customHeight="1">
      <c r="A66" s="26" t="s">
        <v>212</v>
      </c>
      <c r="B66" s="109">
        <v>10000</v>
      </c>
    </row>
    <row r="67" spans="1:2" s="11" customFormat="1" ht="15.75" customHeight="1">
      <c r="A67" s="26" t="s">
        <v>213</v>
      </c>
      <c r="B67" s="109">
        <v>140000</v>
      </c>
    </row>
    <row r="68" spans="1:2" ht="19.5" customHeight="1">
      <c r="A68" s="18" t="s">
        <v>214</v>
      </c>
      <c r="B68" s="19"/>
    </row>
    <row r="69" spans="1:2" ht="36.75" customHeight="1">
      <c r="A69" s="18" t="s">
        <v>215</v>
      </c>
      <c r="B69" s="19"/>
    </row>
    <row r="70" spans="1:2" s="11" customFormat="1" ht="18" customHeight="1">
      <c r="A70" s="18" t="s">
        <v>216</v>
      </c>
      <c r="B70" s="19">
        <f>SUM(B71:B76)</f>
        <v>420000</v>
      </c>
    </row>
    <row r="71" spans="1:2" s="11" customFormat="1" ht="19.5" customHeight="1">
      <c r="A71" s="23" t="s">
        <v>217</v>
      </c>
      <c r="B71" s="22">
        <v>180000</v>
      </c>
    </row>
    <row r="72" spans="1:2" s="11" customFormat="1" ht="19.5" customHeight="1">
      <c r="A72" s="23" t="s">
        <v>287</v>
      </c>
      <c r="B72" s="22">
        <v>7800</v>
      </c>
    </row>
    <row r="73" spans="1:2" ht="19.5" customHeight="1">
      <c r="A73" s="23" t="s">
        <v>218</v>
      </c>
      <c r="B73" s="22">
        <v>33490</v>
      </c>
    </row>
    <row r="74" spans="1:2" ht="19.5" customHeight="1">
      <c r="A74" s="23" t="s">
        <v>219</v>
      </c>
      <c r="B74" s="22">
        <v>121400</v>
      </c>
    </row>
    <row r="75" spans="1:2" ht="19.5" customHeight="1">
      <c r="A75" s="23" t="s">
        <v>220</v>
      </c>
      <c r="B75" s="22">
        <v>67750</v>
      </c>
    </row>
    <row r="76" spans="1:2" ht="19.5" customHeight="1">
      <c r="A76" s="23" t="s">
        <v>437</v>
      </c>
      <c r="B76" s="22">
        <v>9560</v>
      </c>
    </row>
    <row r="77" spans="1:2" ht="15.75">
      <c r="A77" s="27" t="s">
        <v>221</v>
      </c>
      <c r="B77" s="19">
        <f>B78+B92</f>
        <v>4963153</v>
      </c>
    </row>
    <row r="78" spans="1:2" ht="15.75">
      <c r="A78" s="105" t="s">
        <v>188</v>
      </c>
      <c r="B78" s="19">
        <f>B79+B82</f>
        <v>4543153</v>
      </c>
    </row>
    <row r="79" spans="1:2" ht="15.75">
      <c r="A79" s="30" t="s">
        <v>222</v>
      </c>
      <c r="B79" s="19">
        <f>B80+B81</f>
        <v>3229640</v>
      </c>
    </row>
    <row r="80" spans="1:2" ht="15.75">
      <c r="A80" s="24" t="s">
        <v>223</v>
      </c>
      <c r="B80" s="28">
        <v>96000</v>
      </c>
    </row>
    <row r="81" spans="1:2" s="29" customFormat="1" ht="15.75">
      <c r="A81" s="106" t="s">
        <v>224</v>
      </c>
      <c r="B81" s="28">
        <v>3133640</v>
      </c>
    </row>
    <row r="82" spans="1:2" ht="15.75">
      <c r="A82" s="30" t="s">
        <v>225</v>
      </c>
      <c r="B82" s="18">
        <f>SUM(B83:B88)</f>
        <v>1313513</v>
      </c>
    </row>
    <row r="83" spans="1:2" ht="15" customHeight="1">
      <c r="A83" s="26" t="s">
        <v>226</v>
      </c>
      <c r="B83" s="28">
        <v>615289</v>
      </c>
    </row>
    <row r="84" spans="1:2" s="31" customFormat="1" ht="14.25" customHeight="1">
      <c r="A84" s="26" t="s">
        <v>365</v>
      </c>
      <c r="B84" s="26">
        <v>254000</v>
      </c>
    </row>
    <row r="85" spans="1:2" s="31" customFormat="1" ht="14.25" customHeight="1">
      <c r="A85" s="26" t="s">
        <v>227</v>
      </c>
      <c r="B85" s="26">
        <v>344090</v>
      </c>
    </row>
    <row r="86" spans="1:2" ht="15.75" customHeight="1">
      <c r="A86" s="26" t="s">
        <v>438</v>
      </c>
      <c r="B86" s="26">
        <v>100134</v>
      </c>
    </row>
    <row r="87" spans="1:2" ht="15.75" customHeight="1">
      <c r="A87" s="26" t="s">
        <v>228</v>
      </c>
      <c r="B87" s="26"/>
    </row>
    <row r="88" spans="1:2" s="21" customFormat="1" ht="17.25" customHeight="1">
      <c r="A88" s="26" t="s">
        <v>364</v>
      </c>
      <c r="B88" s="24"/>
    </row>
    <row r="89" spans="1:2" s="21" customFormat="1" ht="17.25" customHeight="1">
      <c r="A89" s="30" t="s">
        <v>291</v>
      </c>
      <c r="B89" s="24"/>
    </row>
    <row r="90" spans="1:2" s="21" customFormat="1" ht="17.25" customHeight="1">
      <c r="A90" s="30" t="s">
        <v>289</v>
      </c>
      <c r="B90" s="24"/>
    </row>
    <row r="91" spans="1:2" s="21" customFormat="1" ht="17.25" customHeight="1">
      <c r="A91" s="30" t="s">
        <v>290</v>
      </c>
      <c r="B91" s="123"/>
    </row>
    <row r="92" spans="1:2" s="11" customFormat="1" ht="23.25" customHeight="1">
      <c r="A92" s="32" t="s">
        <v>229</v>
      </c>
      <c r="B92" s="33">
        <f>SUM(B93:B98)</f>
        <v>420000</v>
      </c>
    </row>
    <row r="93" spans="1:2" ht="15.75">
      <c r="A93" s="23" t="s">
        <v>218</v>
      </c>
      <c r="B93" s="34">
        <v>33490</v>
      </c>
    </row>
    <row r="94" spans="1:2" ht="15.75">
      <c r="A94" s="23" t="s">
        <v>219</v>
      </c>
      <c r="B94" s="34">
        <v>121400</v>
      </c>
    </row>
    <row r="95" spans="1:2" ht="16.5" customHeight="1">
      <c r="A95" s="23" t="s">
        <v>366</v>
      </c>
      <c r="B95" s="34">
        <v>7800</v>
      </c>
    </row>
    <row r="96" spans="1:2" ht="16.5" customHeight="1">
      <c r="A96" s="23" t="s">
        <v>367</v>
      </c>
      <c r="B96" s="34">
        <v>9560</v>
      </c>
    </row>
    <row r="97" spans="1:2" ht="16.5" customHeight="1">
      <c r="A97" s="23" t="s">
        <v>288</v>
      </c>
      <c r="B97" s="34">
        <v>180000</v>
      </c>
    </row>
    <row r="98" spans="1:2" ht="16.5" customHeight="1">
      <c r="A98" s="107" t="s">
        <v>220</v>
      </c>
      <c r="B98" s="35">
        <v>67750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>
      <c r="B977" s="36"/>
    </row>
  </sheetData>
  <mergeCells count="6">
    <mergeCell ref="A3:B3"/>
    <mergeCell ref="A4:B4"/>
    <mergeCell ref="A7:A9"/>
    <mergeCell ref="B7:B9"/>
    <mergeCell ref="A6:B6"/>
    <mergeCell ref="A5:C5"/>
  </mergeCells>
  <printOptions/>
  <pageMargins left="0.43" right="0.14" top="0.5" bottom="0.984251968503937" header="0.5" footer="0.511811023622047"/>
  <pageSetup horizontalDpi="1200" verticalDpi="1200" orientation="portrait" paperSize="9" r:id="rId1"/>
  <ignoredErrors>
    <ignoredError sqref="B40 B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5" sqref="A5:C5"/>
    </sheetView>
  </sheetViews>
  <sheetFormatPr defaultColWidth="9.140625" defaultRowHeight="12.75"/>
  <cols>
    <col min="1" max="1" width="9.140625" style="9" customWidth="1"/>
    <col min="2" max="2" width="61.00390625" style="9" bestFit="1" customWidth="1"/>
    <col min="3" max="3" width="18.57421875" style="9" bestFit="1" customWidth="1"/>
    <col min="4" max="4" width="9.140625" style="9" customWidth="1"/>
    <col min="5" max="5" width="14.57421875" style="135" bestFit="1" customWidth="1"/>
    <col min="6" max="16384" width="9.140625" style="9" customWidth="1"/>
  </cols>
  <sheetData>
    <row r="1" spans="1:3" ht="15.75">
      <c r="A1" s="201" t="s">
        <v>508</v>
      </c>
      <c r="B1" s="201"/>
      <c r="C1" s="201"/>
    </row>
    <row r="2" ht="15.75">
      <c r="A2" s="37"/>
    </row>
    <row r="3" spans="1:3" ht="18.75">
      <c r="A3" s="202" t="s">
        <v>249</v>
      </c>
      <c r="B3" s="202"/>
      <c r="C3" s="202"/>
    </row>
    <row r="4" spans="1:3" ht="18.75">
      <c r="A4" s="202" t="s">
        <v>439</v>
      </c>
      <c r="B4" s="202"/>
      <c r="C4" s="202"/>
    </row>
    <row r="5" spans="1:3" ht="26.25" customHeight="1">
      <c r="A5" s="195" t="s">
        <v>511</v>
      </c>
      <c r="B5" s="195"/>
      <c r="C5" s="195"/>
    </row>
    <row r="6" spans="1:3" ht="21" customHeight="1">
      <c r="A6" s="37"/>
      <c r="C6" s="57" t="s">
        <v>251</v>
      </c>
    </row>
    <row r="7" spans="1:3" ht="21" customHeight="1">
      <c r="A7" s="199" t="s">
        <v>166</v>
      </c>
      <c r="B7" s="199" t="s">
        <v>242</v>
      </c>
      <c r="C7" s="199" t="s">
        <v>232</v>
      </c>
    </row>
    <row r="8" spans="1:3" ht="21" customHeight="1">
      <c r="A8" s="200"/>
      <c r="B8" s="200"/>
      <c r="C8" s="200"/>
    </row>
    <row r="9" spans="1:3" ht="15.75">
      <c r="A9" s="38" t="s">
        <v>167</v>
      </c>
      <c r="B9" s="39" t="s">
        <v>243</v>
      </c>
      <c r="C9" s="40">
        <f>C10+C12+C13</f>
        <v>2090963</v>
      </c>
    </row>
    <row r="10" spans="1:3" ht="15.75">
      <c r="A10" s="4">
        <v>1</v>
      </c>
      <c r="B10" s="1" t="s">
        <v>246</v>
      </c>
      <c r="C10" s="5">
        <v>2033121</v>
      </c>
    </row>
    <row r="11" spans="1:3" ht="15.75">
      <c r="A11" s="4">
        <v>2</v>
      </c>
      <c r="B11" s="1" t="s">
        <v>247</v>
      </c>
      <c r="C11" s="5">
        <v>0</v>
      </c>
    </row>
    <row r="12" spans="1:3" ht="15.75">
      <c r="A12" s="4">
        <v>3</v>
      </c>
      <c r="B12" s="1" t="s">
        <v>275</v>
      </c>
      <c r="C12" s="5">
        <v>57314</v>
      </c>
    </row>
    <row r="13" spans="1:3" ht="15.75">
      <c r="A13" s="4">
        <v>4</v>
      </c>
      <c r="B13" s="1" t="s">
        <v>182</v>
      </c>
      <c r="C13" s="5">
        <v>528</v>
      </c>
    </row>
    <row r="14" spans="1:3" ht="15.75">
      <c r="A14" s="41" t="s">
        <v>169</v>
      </c>
      <c r="B14" s="42" t="s">
        <v>234</v>
      </c>
      <c r="C14" s="43">
        <f>C15+C18+C23+C22+C24+C25+C26+C27</f>
        <v>4160589</v>
      </c>
    </row>
    <row r="15" spans="1:3" ht="15.75">
      <c r="A15" s="4">
        <v>1</v>
      </c>
      <c r="B15" s="1" t="s">
        <v>235</v>
      </c>
      <c r="C15" s="5">
        <f>C16+C17</f>
        <v>2024229</v>
      </c>
    </row>
    <row r="16" spans="1:3" ht="15.75">
      <c r="A16" s="4"/>
      <c r="B16" s="95" t="s">
        <v>236</v>
      </c>
      <c r="C16" s="5">
        <v>586904</v>
      </c>
    </row>
    <row r="17" spans="1:3" ht="31.5">
      <c r="A17" s="4"/>
      <c r="B17" s="99" t="s">
        <v>279</v>
      </c>
      <c r="C17" s="5">
        <v>1437325</v>
      </c>
    </row>
    <row r="18" spans="1:3" ht="15.75">
      <c r="A18" s="4">
        <v>2</v>
      </c>
      <c r="B18" s="1" t="s">
        <v>237</v>
      </c>
      <c r="C18" s="139">
        <f>C19+C20</f>
        <v>1360888</v>
      </c>
    </row>
    <row r="19" spans="1:3" ht="15.75">
      <c r="A19" s="4"/>
      <c r="B19" s="95" t="s">
        <v>238</v>
      </c>
      <c r="C19" s="5">
        <v>393843</v>
      </c>
    </row>
    <row r="20" spans="1:3" ht="15.75">
      <c r="A20" s="4"/>
      <c r="B20" s="95" t="s">
        <v>245</v>
      </c>
      <c r="C20" s="5">
        <v>967045</v>
      </c>
    </row>
    <row r="21" spans="1:3" ht="15.75">
      <c r="A21" s="4"/>
      <c r="B21" s="91" t="s">
        <v>271</v>
      </c>
      <c r="C21" s="136"/>
    </row>
    <row r="22" spans="1:3" ht="15.75">
      <c r="A22" s="4">
        <v>3</v>
      </c>
      <c r="B22" s="1" t="s">
        <v>239</v>
      </c>
      <c r="C22" s="5">
        <v>158463</v>
      </c>
    </row>
    <row r="23" spans="1:3" ht="15.75">
      <c r="A23" s="4">
        <v>4</v>
      </c>
      <c r="B23" s="1" t="s">
        <v>231</v>
      </c>
      <c r="C23" s="5"/>
    </row>
    <row r="24" spans="1:3" ht="15.75">
      <c r="A24" s="4">
        <v>5</v>
      </c>
      <c r="B24" s="1" t="s">
        <v>230</v>
      </c>
      <c r="C24" s="5">
        <v>250118</v>
      </c>
    </row>
    <row r="25" spans="1:3" ht="15.75">
      <c r="A25" s="4">
        <v>6</v>
      </c>
      <c r="B25" s="1" t="s">
        <v>448</v>
      </c>
      <c r="C25" s="5">
        <v>90000</v>
      </c>
    </row>
    <row r="26" spans="1:3" ht="15.75">
      <c r="A26" s="4">
        <v>8</v>
      </c>
      <c r="B26" s="1" t="s">
        <v>276</v>
      </c>
      <c r="C26" s="5">
        <v>0</v>
      </c>
    </row>
    <row r="27" spans="1:3" ht="15.75">
      <c r="A27" s="4">
        <v>9</v>
      </c>
      <c r="B27" s="1" t="s">
        <v>248</v>
      </c>
      <c r="C27" s="5">
        <v>276891</v>
      </c>
    </row>
    <row r="28" spans="1:3" ht="15.75">
      <c r="A28" s="41" t="s">
        <v>170</v>
      </c>
      <c r="B28" s="42" t="s">
        <v>240</v>
      </c>
      <c r="C28" s="43">
        <f>SUM(C29:C37)</f>
        <v>3853561</v>
      </c>
    </row>
    <row r="29" spans="1:3" ht="15.75">
      <c r="A29" s="4">
        <v>1</v>
      </c>
      <c r="B29" s="1" t="s">
        <v>233</v>
      </c>
      <c r="C29" s="5">
        <v>954327</v>
      </c>
    </row>
    <row r="30" spans="1:3" ht="15.75">
      <c r="A30" s="4">
        <v>2</v>
      </c>
      <c r="B30" s="1" t="s">
        <v>244</v>
      </c>
      <c r="C30" s="5">
        <v>2220978</v>
      </c>
    </row>
    <row r="31" spans="1:3" ht="15.75">
      <c r="A31" s="4">
        <v>3</v>
      </c>
      <c r="B31" s="1" t="s">
        <v>252</v>
      </c>
      <c r="C31" s="5">
        <v>0</v>
      </c>
    </row>
    <row r="32" spans="1:3" ht="31.5">
      <c r="A32" s="4">
        <v>4</v>
      </c>
      <c r="B32" s="97" t="s">
        <v>280</v>
      </c>
      <c r="C32" s="5">
        <v>127803</v>
      </c>
    </row>
    <row r="33" spans="1:3" ht="15.75">
      <c r="A33" s="4">
        <v>5</v>
      </c>
      <c r="B33" s="1" t="s">
        <v>133</v>
      </c>
      <c r="C33" s="5">
        <v>0</v>
      </c>
    </row>
    <row r="34" spans="1:3" ht="15.75">
      <c r="A34" s="4">
        <v>6</v>
      </c>
      <c r="B34" s="1" t="s">
        <v>250</v>
      </c>
      <c r="C34" s="5">
        <v>139938</v>
      </c>
    </row>
    <row r="35" spans="1:3" ht="15.75">
      <c r="A35" s="4">
        <v>7</v>
      </c>
      <c r="B35" s="3" t="s">
        <v>277</v>
      </c>
      <c r="C35" s="45">
        <v>152261</v>
      </c>
    </row>
    <row r="36" spans="1:3" ht="15.75">
      <c r="A36" s="4">
        <v>8</v>
      </c>
      <c r="B36" s="1" t="s">
        <v>278</v>
      </c>
      <c r="C36" s="5">
        <v>257099</v>
      </c>
    </row>
    <row r="37" spans="1:4" ht="15.75">
      <c r="A37" s="46">
        <v>9</v>
      </c>
      <c r="B37" s="2" t="s">
        <v>440</v>
      </c>
      <c r="C37" s="8">
        <v>1155</v>
      </c>
      <c r="D37" s="186"/>
    </row>
  </sheetData>
  <mergeCells count="7">
    <mergeCell ref="C7:C8"/>
    <mergeCell ref="A1:C1"/>
    <mergeCell ref="A7:A8"/>
    <mergeCell ref="B7:B8"/>
    <mergeCell ref="A3:C3"/>
    <mergeCell ref="A4:C4"/>
    <mergeCell ref="A5:C5"/>
  </mergeCells>
  <printOptions/>
  <pageMargins left="0.78" right="0.41" top="0.57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5" sqref="A5:C5"/>
    </sheetView>
  </sheetViews>
  <sheetFormatPr defaultColWidth="9.140625" defaultRowHeight="12.75"/>
  <cols>
    <col min="1" max="1" width="6.421875" style="6" bestFit="1" customWidth="1"/>
    <col min="2" max="2" width="71.7109375" style="6" customWidth="1"/>
    <col min="3" max="3" width="21.140625" style="6" customWidth="1"/>
    <col min="4" max="4" width="9.140625" style="6" customWidth="1"/>
    <col min="5" max="5" width="11.140625" style="137" bestFit="1" customWidth="1"/>
    <col min="6" max="16384" width="9.140625" style="6" customWidth="1"/>
  </cols>
  <sheetData>
    <row r="1" spans="1:3" ht="15.75">
      <c r="A1" s="201" t="s">
        <v>127</v>
      </c>
      <c r="B1" s="201"/>
      <c r="C1" s="47" t="s">
        <v>107</v>
      </c>
    </row>
    <row r="2" spans="1:3" ht="15.75">
      <c r="A2" s="37"/>
      <c r="B2" s="9"/>
      <c r="C2" s="9"/>
    </row>
    <row r="3" spans="1:3" ht="18.75">
      <c r="A3" s="202" t="s">
        <v>122</v>
      </c>
      <c r="B3" s="202"/>
      <c r="C3" s="202"/>
    </row>
    <row r="4" spans="1:3" ht="18.75">
      <c r="A4" s="202" t="s">
        <v>442</v>
      </c>
      <c r="B4" s="202"/>
      <c r="C4" s="202"/>
    </row>
    <row r="5" spans="1:3" ht="21" customHeight="1">
      <c r="A5" s="195" t="s">
        <v>511</v>
      </c>
      <c r="B5" s="195"/>
      <c r="C5" s="195"/>
    </row>
    <row r="6" spans="1:3" ht="21" customHeight="1">
      <c r="A6" s="37"/>
      <c r="B6" s="9"/>
      <c r="C6" s="57" t="s">
        <v>251</v>
      </c>
    </row>
    <row r="7" spans="1:3" ht="18.75">
      <c r="A7" s="199" t="s">
        <v>166</v>
      </c>
      <c r="B7" s="199" t="s">
        <v>242</v>
      </c>
      <c r="C7" s="48" t="s">
        <v>232</v>
      </c>
    </row>
    <row r="8" spans="1:3" ht="0.75" customHeight="1">
      <c r="A8" s="200"/>
      <c r="B8" s="200"/>
      <c r="C8" s="49"/>
    </row>
    <row r="9" spans="1:3" ht="15.75">
      <c r="A9" s="38" t="s">
        <v>171</v>
      </c>
      <c r="B9" s="189" t="s">
        <v>123</v>
      </c>
      <c r="C9" s="40"/>
    </row>
    <row r="10" spans="1:3" ht="15.75">
      <c r="A10" s="41" t="s">
        <v>167</v>
      </c>
      <c r="B10" s="190" t="s">
        <v>108</v>
      </c>
      <c r="C10" s="43">
        <f>C11+C14+C17+C18+C19+C20+C21+C22</f>
        <v>2927057</v>
      </c>
    </row>
    <row r="11" spans="1:3" ht="15.75">
      <c r="A11" s="4">
        <v>1</v>
      </c>
      <c r="B11" s="97" t="s">
        <v>464</v>
      </c>
      <c r="C11" s="5">
        <f>C12+C13</f>
        <v>1173371</v>
      </c>
    </row>
    <row r="12" spans="1:3" ht="15.75">
      <c r="A12" s="4"/>
      <c r="B12" s="191" t="s">
        <v>109</v>
      </c>
      <c r="C12" s="5">
        <v>200130</v>
      </c>
    </row>
    <row r="13" spans="1:3" ht="15.75">
      <c r="A13" s="4"/>
      <c r="B13" s="191" t="s">
        <v>282</v>
      </c>
      <c r="C13" s="5">
        <v>973241</v>
      </c>
    </row>
    <row r="14" spans="1:3" ht="15.75">
      <c r="A14" s="4">
        <v>2</v>
      </c>
      <c r="B14" s="97" t="s">
        <v>237</v>
      </c>
      <c r="C14" s="139">
        <f>C15+C16</f>
        <v>1360888</v>
      </c>
    </row>
    <row r="15" spans="1:3" ht="15.75">
      <c r="A15" s="4"/>
      <c r="B15" s="99" t="s">
        <v>238</v>
      </c>
      <c r="C15" s="5">
        <v>393843</v>
      </c>
    </row>
    <row r="16" spans="1:3" ht="15.75">
      <c r="A16" s="4"/>
      <c r="B16" s="99" t="s">
        <v>245</v>
      </c>
      <c r="C16" s="5">
        <v>967045</v>
      </c>
    </row>
    <row r="17" spans="1:3" ht="15.75">
      <c r="A17" s="4">
        <v>3</v>
      </c>
      <c r="B17" s="97" t="s">
        <v>231</v>
      </c>
      <c r="C17" s="139"/>
    </row>
    <row r="18" spans="1:3" ht="15.75">
      <c r="A18" s="4">
        <v>4</v>
      </c>
      <c r="B18" s="97" t="s">
        <v>239</v>
      </c>
      <c r="C18" s="5">
        <v>50500</v>
      </c>
    </row>
    <row r="19" spans="1:3" ht="15.75">
      <c r="A19" s="4">
        <v>5</v>
      </c>
      <c r="B19" s="97" t="s">
        <v>110</v>
      </c>
      <c r="C19" s="139">
        <v>32348</v>
      </c>
    </row>
    <row r="20" spans="1:3" ht="15.75">
      <c r="A20" s="4">
        <v>6</v>
      </c>
      <c r="B20" s="97" t="s">
        <v>465</v>
      </c>
      <c r="C20" s="5">
        <v>90000</v>
      </c>
    </row>
    <row r="21" spans="1:3" ht="15.75">
      <c r="A21" s="4">
        <v>7</v>
      </c>
      <c r="B21" s="97" t="s">
        <v>126</v>
      </c>
      <c r="C21" s="5"/>
    </row>
    <row r="22" spans="1:3" ht="15.75">
      <c r="A22" s="4">
        <v>8</v>
      </c>
      <c r="B22" s="97" t="s">
        <v>121</v>
      </c>
      <c r="C22" s="139">
        <v>219950</v>
      </c>
    </row>
    <row r="23" spans="1:4" ht="15.75">
      <c r="A23" s="41" t="s">
        <v>169</v>
      </c>
      <c r="B23" s="190" t="s">
        <v>111</v>
      </c>
      <c r="C23" s="43">
        <f>C24+C25+C29+C30+C31+C32</f>
        <v>2915994</v>
      </c>
      <c r="D23" s="7"/>
    </row>
    <row r="24" spans="1:3" ht="31.5">
      <c r="A24" s="98">
        <v>1</v>
      </c>
      <c r="B24" s="100" t="s">
        <v>281</v>
      </c>
      <c r="C24" s="168">
        <f>478122+781177+127803</f>
        <v>1387102</v>
      </c>
    </row>
    <row r="25" spans="1:3" ht="15.75">
      <c r="A25" s="4">
        <v>2</v>
      </c>
      <c r="B25" s="97" t="s">
        <v>112</v>
      </c>
      <c r="C25" s="96">
        <v>1198487</v>
      </c>
    </row>
    <row r="26" spans="1:4" ht="15.75">
      <c r="A26" s="4"/>
      <c r="B26" s="99" t="s">
        <v>238</v>
      </c>
      <c r="C26" s="119"/>
      <c r="D26" s="7"/>
    </row>
    <row r="27" spans="1:3" ht="15.75">
      <c r="A27" s="4"/>
      <c r="B27" s="99" t="s">
        <v>362</v>
      </c>
      <c r="C27" s="119"/>
    </row>
    <row r="28" spans="1:3" ht="15.75">
      <c r="A28" s="4"/>
      <c r="B28" s="99" t="s">
        <v>363</v>
      </c>
      <c r="C28" s="119"/>
    </row>
    <row r="29" spans="1:3" ht="15.75">
      <c r="A29" s="4">
        <v>3</v>
      </c>
      <c r="B29" s="97" t="s">
        <v>113</v>
      </c>
      <c r="C29" s="96">
        <v>17828</v>
      </c>
    </row>
    <row r="30" spans="1:3" ht="15.75">
      <c r="A30" s="4">
        <v>4</v>
      </c>
      <c r="B30" s="97" t="s">
        <v>250</v>
      </c>
      <c r="C30" s="96">
        <v>111264</v>
      </c>
    </row>
    <row r="31" spans="1:3" ht="15.75">
      <c r="A31" s="4">
        <v>5</v>
      </c>
      <c r="B31" s="97" t="s">
        <v>152</v>
      </c>
      <c r="C31" s="96">
        <v>200158</v>
      </c>
    </row>
    <row r="32" spans="1:3" ht="15.75">
      <c r="A32" s="4">
        <v>6</v>
      </c>
      <c r="B32" s="97" t="s">
        <v>440</v>
      </c>
      <c r="C32" s="96">
        <v>1155</v>
      </c>
    </row>
    <row r="33" spans="1:3" ht="15.75">
      <c r="A33" s="50" t="s">
        <v>172</v>
      </c>
      <c r="B33" s="192" t="s">
        <v>124</v>
      </c>
      <c r="C33" s="43"/>
    </row>
    <row r="34" spans="1:3" ht="12.75">
      <c r="A34" s="51"/>
      <c r="B34" s="192" t="s">
        <v>125</v>
      </c>
      <c r="C34" s="52"/>
    </row>
    <row r="35" spans="1:3" ht="15.75">
      <c r="A35" s="41" t="s">
        <v>167</v>
      </c>
      <c r="B35" s="190" t="s">
        <v>114</v>
      </c>
      <c r="C35" s="43">
        <f>C36+C39+C43+C44+C45</f>
        <v>2693195</v>
      </c>
    </row>
    <row r="36" spans="1:3" ht="15.75">
      <c r="A36" s="4">
        <v>1</v>
      </c>
      <c r="B36" s="97" t="s">
        <v>115</v>
      </c>
      <c r="C36" s="96">
        <f>C37+C38</f>
        <v>850858</v>
      </c>
    </row>
    <row r="37" spans="1:3" ht="15.75" customHeight="1">
      <c r="A37" s="4"/>
      <c r="B37" s="99" t="s">
        <v>116</v>
      </c>
      <c r="C37" s="120">
        <f>349689+37085</f>
        <v>386774</v>
      </c>
    </row>
    <row r="38" spans="1:3" ht="15.75" customHeight="1">
      <c r="A38" s="4"/>
      <c r="B38" s="99" t="s">
        <v>117</v>
      </c>
      <c r="C38" s="121">
        <f>452038+12046</f>
        <v>464084</v>
      </c>
    </row>
    <row r="39" spans="1:3" ht="15.75">
      <c r="A39" s="4">
        <v>2</v>
      </c>
      <c r="B39" s="97" t="s">
        <v>118</v>
      </c>
      <c r="C39" s="174">
        <f>C40+C41+261176</f>
        <v>1459663</v>
      </c>
    </row>
    <row r="40" spans="1:3" ht="15.75">
      <c r="A40" s="4"/>
      <c r="B40" s="99" t="s">
        <v>238</v>
      </c>
      <c r="C40" s="119">
        <v>351013</v>
      </c>
    </row>
    <row r="41" spans="1:3" ht="15.75">
      <c r="A41" s="4"/>
      <c r="B41" s="99" t="s">
        <v>362</v>
      </c>
      <c r="C41" s="119">
        <v>847474</v>
      </c>
    </row>
    <row r="42" spans="1:3" ht="15.75">
      <c r="A42" s="4"/>
      <c r="B42" s="99" t="s">
        <v>363</v>
      </c>
      <c r="C42" s="119"/>
    </row>
    <row r="43" spans="1:3" ht="15.75">
      <c r="A43" s="4">
        <v>3</v>
      </c>
      <c r="B43" s="97" t="s">
        <v>119</v>
      </c>
      <c r="C43" s="96">
        <f>201145+16625</f>
        <v>217770</v>
      </c>
    </row>
    <row r="44" spans="1:3" ht="15.75">
      <c r="A44" s="4">
        <v>4</v>
      </c>
      <c r="B44" s="97" t="s">
        <v>168</v>
      </c>
      <c r="C44" s="96">
        <f>48794+8147</f>
        <v>56941</v>
      </c>
    </row>
    <row r="45" spans="1:3" ht="15.75">
      <c r="A45" s="10">
        <v>5</v>
      </c>
      <c r="B45" s="97" t="s">
        <v>239</v>
      </c>
      <c r="C45" s="122">
        <v>107963</v>
      </c>
    </row>
    <row r="46" spans="1:4" ht="15.75">
      <c r="A46" s="53" t="s">
        <v>169</v>
      </c>
      <c r="B46" s="193" t="s">
        <v>120</v>
      </c>
      <c r="C46" s="54">
        <f>2073645+323586</f>
        <v>2397231</v>
      </c>
      <c r="D46" s="7"/>
    </row>
  </sheetData>
  <mergeCells count="6">
    <mergeCell ref="A7:A8"/>
    <mergeCell ref="B7:B8"/>
    <mergeCell ref="A1:B1"/>
    <mergeCell ref="A3:C3"/>
    <mergeCell ref="A4:C4"/>
    <mergeCell ref="A5:C5"/>
  </mergeCells>
  <printOptions/>
  <pageMargins left="0.39" right="0.25" top="0.5" bottom="0.31" header="0.36" footer="0.2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3" sqref="A3:C3"/>
    </sheetView>
  </sheetViews>
  <sheetFormatPr defaultColWidth="9.140625" defaultRowHeight="12.75"/>
  <cols>
    <col min="1" max="1" width="5.140625" style="6" customWidth="1"/>
    <col min="2" max="2" width="65.421875" style="6" customWidth="1"/>
    <col min="3" max="3" width="19.00390625" style="6" customWidth="1"/>
    <col min="4" max="5" width="11.140625" style="137" bestFit="1" customWidth="1"/>
    <col min="6" max="6" width="9.140625" style="6" customWidth="1"/>
    <col min="7" max="7" width="15.140625" style="137" bestFit="1" customWidth="1"/>
    <col min="8" max="16384" width="9.140625" style="6" customWidth="1"/>
  </cols>
  <sheetData>
    <row r="1" spans="1:3" ht="15.75">
      <c r="A1" s="55" t="s">
        <v>509</v>
      </c>
      <c r="B1" s="55"/>
      <c r="C1" s="56"/>
    </row>
    <row r="2" spans="1:3" ht="23.25" customHeight="1">
      <c r="A2" s="202" t="s">
        <v>444</v>
      </c>
      <c r="B2" s="202"/>
      <c r="C2" s="202"/>
    </row>
    <row r="3" spans="1:3" ht="27.75" customHeight="1">
      <c r="A3" s="195" t="s">
        <v>511</v>
      </c>
      <c r="B3" s="195"/>
      <c r="C3" s="195"/>
    </row>
    <row r="4" spans="1:3" ht="23.25" customHeight="1">
      <c r="A4" s="37"/>
      <c r="B4" s="57"/>
      <c r="C4" s="57" t="s">
        <v>251</v>
      </c>
    </row>
    <row r="5" spans="1:3" ht="18.75">
      <c r="A5" s="203" t="s">
        <v>166</v>
      </c>
      <c r="B5" s="203" t="s">
        <v>242</v>
      </c>
      <c r="C5" s="48" t="s">
        <v>232</v>
      </c>
    </row>
    <row r="6" spans="1:3" ht="3.75" customHeight="1">
      <c r="A6" s="204"/>
      <c r="B6" s="204"/>
      <c r="C6" s="49"/>
    </row>
    <row r="7" spans="1:3" ht="15.75">
      <c r="A7" s="41"/>
      <c r="B7" s="41" t="s">
        <v>17</v>
      </c>
      <c r="C7" s="89">
        <f>C8+C66</f>
        <v>2367854</v>
      </c>
    </row>
    <row r="8" spans="1:3" ht="15.75">
      <c r="A8" s="41" t="s">
        <v>171</v>
      </c>
      <c r="B8" s="42" t="s">
        <v>8</v>
      </c>
      <c r="C8" s="43">
        <f>C9+C59+C60+C65</f>
        <v>2090963</v>
      </c>
    </row>
    <row r="9" spans="1:3" ht="15.75">
      <c r="A9" s="60" t="s">
        <v>167</v>
      </c>
      <c r="B9" s="69" t="s">
        <v>2</v>
      </c>
      <c r="C9" s="43">
        <f>C10+C17+C24+C32+C39+C40+C41+C42+C43+C44+C45+C46+C47+C48</f>
        <v>2033121</v>
      </c>
    </row>
    <row r="10" spans="1:3" ht="15.75">
      <c r="A10" s="4">
        <v>1</v>
      </c>
      <c r="B10" s="1" t="s">
        <v>3</v>
      </c>
      <c r="C10" s="90">
        <f>SUM(C11:C16)</f>
        <v>442598</v>
      </c>
    </row>
    <row r="11" spans="1:3" ht="15.75">
      <c r="A11" s="4"/>
      <c r="B11" s="44" t="s">
        <v>191</v>
      </c>
      <c r="C11" s="5">
        <v>142258</v>
      </c>
    </row>
    <row r="12" spans="1:3" ht="15.75">
      <c r="A12" s="4"/>
      <c r="B12" s="44" t="s">
        <v>192</v>
      </c>
      <c r="C12" s="5">
        <v>294250</v>
      </c>
    </row>
    <row r="13" spans="1:3" ht="15.75">
      <c r="A13" s="4"/>
      <c r="B13" s="44" t="s">
        <v>11</v>
      </c>
      <c r="C13" s="96">
        <v>0</v>
      </c>
    </row>
    <row r="14" spans="1:3" ht="15.75">
      <c r="A14" s="4"/>
      <c r="B14" s="44" t="s">
        <v>195</v>
      </c>
      <c r="C14" s="5">
        <v>123</v>
      </c>
    </row>
    <row r="15" spans="1:3" ht="15.75">
      <c r="A15" s="4"/>
      <c r="B15" s="44" t="s">
        <v>194</v>
      </c>
      <c r="C15" s="5">
        <v>5964</v>
      </c>
    </row>
    <row r="16" spans="1:3" ht="15.75">
      <c r="A16" s="4"/>
      <c r="B16" s="44" t="s">
        <v>220</v>
      </c>
      <c r="C16" s="5">
        <v>3</v>
      </c>
    </row>
    <row r="17" spans="1:3" ht="15.75">
      <c r="A17" s="4">
        <v>2</v>
      </c>
      <c r="B17" s="1" t="s">
        <v>4</v>
      </c>
      <c r="C17" s="90">
        <f>SUM(C18:C23)</f>
        <v>193387</v>
      </c>
    </row>
    <row r="18" spans="1:3" ht="15.75">
      <c r="A18" s="4"/>
      <c r="B18" s="44" t="s">
        <v>191</v>
      </c>
      <c r="C18" s="5">
        <v>82900</v>
      </c>
    </row>
    <row r="19" spans="1:3" ht="15.75">
      <c r="A19" s="4"/>
      <c r="B19" s="44" t="s">
        <v>192</v>
      </c>
      <c r="C19" s="5">
        <v>78115</v>
      </c>
    </row>
    <row r="20" spans="1:3" ht="15.75">
      <c r="A20" s="4"/>
      <c r="B20" s="44" t="s">
        <v>11</v>
      </c>
      <c r="C20" s="96">
        <v>0</v>
      </c>
    </row>
    <row r="21" spans="1:3" ht="15.75">
      <c r="A21" s="4"/>
      <c r="B21" s="44" t="s">
        <v>195</v>
      </c>
      <c r="C21" s="5">
        <v>234</v>
      </c>
    </row>
    <row r="22" spans="1:3" ht="15.75">
      <c r="A22" s="4"/>
      <c r="B22" s="44" t="s">
        <v>194</v>
      </c>
      <c r="C22" s="5">
        <v>31712</v>
      </c>
    </row>
    <row r="23" spans="1:6" ht="15.75">
      <c r="A23" s="4"/>
      <c r="B23" s="44" t="s">
        <v>220</v>
      </c>
      <c r="C23" s="5">
        <v>426</v>
      </c>
      <c r="F23" s="7"/>
    </row>
    <row r="24" spans="1:3" ht="15.75">
      <c r="A24" s="4">
        <v>3</v>
      </c>
      <c r="B24" s="1" t="s">
        <v>13</v>
      </c>
      <c r="C24" s="90">
        <f>SUM(C25:C31)</f>
        <v>30850</v>
      </c>
    </row>
    <row r="25" spans="1:3" ht="15.75">
      <c r="A25" s="4"/>
      <c r="B25" s="44" t="s">
        <v>191</v>
      </c>
      <c r="C25" s="5">
        <v>19404</v>
      </c>
    </row>
    <row r="26" spans="1:3" ht="15.75">
      <c r="A26" s="4"/>
      <c r="B26" s="44" t="s">
        <v>192</v>
      </c>
      <c r="C26" s="5">
        <v>7232</v>
      </c>
    </row>
    <row r="27" spans="1:3" ht="15.75">
      <c r="A27" s="4"/>
      <c r="B27" s="44" t="s">
        <v>11</v>
      </c>
      <c r="C27" s="96">
        <v>0</v>
      </c>
    </row>
    <row r="28" spans="1:3" ht="15.75">
      <c r="A28" s="4"/>
      <c r="B28" s="44" t="s">
        <v>195</v>
      </c>
      <c r="C28" s="5">
        <v>155</v>
      </c>
    </row>
    <row r="29" spans="1:3" ht="15.75">
      <c r="A29" s="4"/>
      <c r="B29" s="44" t="s">
        <v>194</v>
      </c>
      <c r="C29" s="96">
        <v>0</v>
      </c>
    </row>
    <row r="30" spans="1:3" ht="15.75">
      <c r="A30" s="4"/>
      <c r="B30" s="44" t="s">
        <v>199</v>
      </c>
      <c r="C30" s="5">
        <v>3929</v>
      </c>
    </row>
    <row r="31" spans="1:3" ht="15.75">
      <c r="A31" s="4"/>
      <c r="B31" s="44" t="s">
        <v>220</v>
      </c>
      <c r="C31" s="5">
        <v>130</v>
      </c>
    </row>
    <row r="32" spans="1:3" ht="15.75">
      <c r="A32" s="4">
        <v>4</v>
      </c>
      <c r="B32" s="1" t="s">
        <v>5</v>
      </c>
      <c r="C32" s="90">
        <f>SUM(C33:C38)</f>
        <v>717068</v>
      </c>
    </row>
    <row r="33" spans="1:3" ht="15.75">
      <c r="A33" s="4"/>
      <c r="B33" s="44" t="s">
        <v>191</v>
      </c>
      <c r="C33" s="5">
        <v>666282</v>
      </c>
    </row>
    <row r="34" spans="1:3" ht="15.75">
      <c r="A34" s="4"/>
      <c r="B34" s="44" t="s">
        <v>192</v>
      </c>
      <c r="C34" s="5">
        <v>25866</v>
      </c>
    </row>
    <row r="35" spans="1:3" ht="15.75">
      <c r="A35" s="4"/>
      <c r="B35" s="44" t="s">
        <v>253</v>
      </c>
      <c r="C35" s="5">
        <v>1210</v>
      </c>
    </row>
    <row r="36" spans="1:3" ht="15.75">
      <c r="A36" s="4"/>
      <c r="B36" s="44" t="s">
        <v>195</v>
      </c>
      <c r="C36" s="5">
        <v>10058</v>
      </c>
    </row>
    <row r="37" spans="1:3" ht="15.75">
      <c r="A37" s="4"/>
      <c r="B37" s="44" t="s">
        <v>194</v>
      </c>
      <c r="C37" s="5">
        <v>8461</v>
      </c>
    </row>
    <row r="38" spans="1:3" ht="15.75">
      <c r="A38" s="4"/>
      <c r="B38" s="44" t="s">
        <v>220</v>
      </c>
      <c r="C38" s="5">
        <v>5191</v>
      </c>
    </row>
    <row r="39" spans="1:3" ht="15.75">
      <c r="A39" s="4">
        <v>5</v>
      </c>
      <c r="B39" s="1" t="s">
        <v>18</v>
      </c>
      <c r="C39" s="5">
        <v>74014</v>
      </c>
    </row>
    <row r="40" spans="1:3" ht="15.75">
      <c r="A40" s="4">
        <v>6</v>
      </c>
      <c r="B40" s="1" t="s">
        <v>15</v>
      </c>
      <c r="C40" s="5">
        <v>1843</v>
      </c>
    </row>
    <row r="41" spans="1:3" ht="15.75">
      <c r="A41" s="4">
        <v>7</v>
      </c>
      <c r="B41" s="1" t="s">
        <v>6</v>
      </c>
      <c r="C41" s="5">
        <v>9223</v>
      </c>
    </row>
    <row r="42" spans="1:3" ht="15.75">
      <c r="A42" s="4">
        <v>8</v>
      </c>
      <c r="B42" s="1" t="s">
        <v>254</v>
      </c>
      <c r="C42" s="5">
        <v>100522</v>
      </c>
    </row>
    <row r="43" spans="1:3" ht="15.75">
      <c r="A43" s="4">
        <v>9</v>
      </c>
      <c r="B43" s="1" t="s">
        <v>106</v>
      </c>
      <c r="C43" s="90">
        <v>18857</v>
      </c>
    </row>
    <row r="44" spans="1:3" ht="15.75">
      <c r="A44" s="4">
        <v>10</v>
      </c>
      <c r="B44" s="1" t="s">
        <v>0</v>
      </c>
      <c r="C44" s="5">
        <v>30629</v>
      </c>
    </row>
    <row r="45" spans="1:3" ht="15.75">
      <c r="A45" s="4">
        <v>11</v>
      </c>
      <c r="B45" s="1" t="s">
        <v>255</v>
      </c>
      <c r="C45" s="5">
        <v>23</v>
      </c>
    </row>
    <row r="46" spans="1:3" ht="15.75">
      <c r="A46" s="4">
        <v>12</v>
      </c>
      <c r="B46" s="1" t="s">
        <v>256</v>
      </c>
      <c r="C46" s="5">
        <v>297820</v>
      </c>
    </row>
    <row r="47" spans="1:3" ht="15.75">
      <c r="A47" s="4">
        <v>13</v>
      </c>
      <c r="B47" s="1" t="s">
        <v>257</v>
      </c>
      <c r="C47" s="5">
        <v>9551</v>
      </c>
    </row>
    <row r="48" spans="1:3" ht="15.75">
      <c r="A48" s="4">
        <v>17</v>
      </c>
      <c r="B48" s="1" t="s">
        <v>9</v>
      </c>
      <c r="C48" s="5">
        <f>SUM(C49:C58)</f>
        <v>106736</v>
      </c>
    </row>
    <row r="49" spans="1:3" ht="15.75">
      <c r="A49" s="4"/>
      <c r="B49" s="93" t="s">
        <v>258</v>
      </c>
      <c r="C49" s="5">
        <v>55699</v>
      </c>
    </row>
    <row r="50" spans="1:3" ht="15.75">
      <c r="A50" s="4"/>
      <c r="B50" s="93" t="s">
        <v>259</v>
      </c>
      <c r="C50" s="5">
        <v>26851</v>
      </c>
    </row>
    <row r="51" spans="1:3" ht="15.75">
      <c r="A51" s="4"/>
      <c r="B51" s="93" t="s">
        <v>260</v>
      </c>
      <c r="C51" s="5">
        <v>640</v>
      </c>
    </row>
    <row r="52" spans="1:3" ht="15.75">
      <c r="A52" s="4"/>
      <c r="B52" s="93" t="s">
        <v>261</v>
      </c>
      <c r="C52" s="5">
        <v>81</v>
      </c>
    </row>
    <row r="53" spans="1:3" ht="15.75">
      <c r="A53" s="4"/>
      <c r="B53" s="93" t="s">
        <v>262</v>
      </c>
      <c r="C53" s="5">
        <v>4092</v>
      </c>
    </row>
    <row r="54" spans="1:3" ht="15.75">
      <c r="A54" s="4"/>
      <c r="B54" s="138" t="s">
        <v>445</v>
      </c>
      <c r="C54" s="5">
        <v>56</v>
      </c>
    </row>
    <row r="55" spans="1:3" ht="15.75">
      <c r="A55" s="4"/>
      <c r="B55" s="138" t="s">
        <v>446</v>
      </c>
      <c r="C55" s="5">
        <v>529</v>
      </c>
    </row>
    <row r="56" spans="1:3" ht="15.75">
      <c r="A56" s="4"/>
      <c r="B56" s="93" t="s">
        <v>263</v>
      </c>
      <c r="C56" s="139">
        <v>8969</v>
      </c>
    </row>
    <row r="57" spans="1:3" ht="15.75">
      <c r="A57" s="4"/>
      <c r="B57" s="93" t="s">
        <v>264</v>
      </c>
      <c r="C57" s="5">
        <v>144</v>
      </c>
    </row>
    <row r="58" spans="1:3" ht="15.75">
      <c r="A58" s="4"/>
      <c r="B58" s="93" t="s">
        <v>220</v>
      </c>
      <c r="C58" s="5">
        <v>9675</v>
      </c>
    </row>
    <row r="59" spans="1:3" ht="15.75">
      <c r="A59" s="60" t="s">
        <v>169</v>
      </c>
      <c r="B59" s="69" t="s">
        <v>247</v>
      </c>
      <c r="C59" s="5"/>
    </row>
    <row r="60" spans="1:3" ht="15.75">
      <c r="A60" s="60" t="s">
        <v>170</v>
      </c>
      <c r="B60" s="69" t="s">
        <v>7</v>
      </c>
      <c r="C60" s="43">
        <f>SUM(C62:C64)</f>
        <v>57314</v>
      </c>
    </row>
    <row r="61" spans="1:3" ht="15.75">
      <c r="A61" s="4"/>
      <c r="B61" s="69" t="s">
        <v>265</v>
      </c>
      <c r="C61" s="5"/>
    </row>
    <row r="62" spans="1:3" ht="15.75">
      <c r="A62" s="4">
        <v>1</v>
      </c>
      <c r="B62" s="1" t="s">
        <v>266</v>
      </c>
      <c r="C62" s="5">
        <v>5892</v>
      </c>
    </row>
    <row r="63" spans="1:3" ht="15.75">
      <c r="A63" s="4">
        <v>2</v>
      </c>
      <c r="B63" s="1" t="s">
        <v>12</v>
      </c>
      <c r="C63" s="5">
        <v>51421</v>
      </c>
    </row>
    <row r="64" spans="1:3" ht="15.75">
      <c r="A64" s="4">
        <v>3</v>
      </c>
      <c r="B64" s="1" t="s">
        <v>447</v>
      </c>
      <c r="C64" s="5">
        <v>1</v>
      </c>
    </row>
    <row r="65" spans="1:3" ht="15.75">
      <c r="A65" s="60" t="s">
        <v>173</v>
      </c>
      <c r="B65" s="69" t="s">
        <v>182</v>
      </c>
      <c r="C65" s="43">
        <v>528</v>
      </c>
    </row>
    <row r="66" spans="1:3" ht="15.75">
      <c r="A66" s="41" t="s">
        <v>172</v>
      </c>
      <c r="B66" s="42" t="s">
        <v>248</v>
      </c>
      <c r="C66" s="43">
        <f>SUM(C67:C71)</f>
        <v>276891</v>
      </c>
    </row>
    <row r="67" spans="1:3" ht="15.75">
      <c r="A67" s="4">
        <v>1</v>
      </c>
      <c r="B67" s="1" t="s">
        <v>14</v>
      </c>
      <c r="C67" s="5">
        <v>26981</v>
      </c>
    </row>
    <row r="68" spans="1:3" ht="15.75">
      <c r="A68" s="4">
        <v>2</v>
      </c>
      <c r="B68" s="1" t="s">
        <v>135</v>
      </c>
      <c r="C68" s="5">
        <v>7323</v>
      </c>
    </row>
    <row r="69" spans="1:3" ht="15.75">
      <c r="A69" s="4">
        <v>3</v>
      </c>
      <c r="B69" s="1" t="s">
        <v>1</v>
      </c>
      <c r="C69" s="5">
        <v>14835</v>
      </c>
    </row>
    <row r="70" spans="1:3" ht="15.75">
      <c r="A70" s="4">
        <v>4</v>
      </c>
      <c r="B70" s="1" t="s">
        <v>128</v>
      </c>
      <c r="C70" s="5">
        <v>106533</v>
      </c>
    </row>
    <row r="71" spans="1:3" ht="15.75">
      <c r="A71" s="4">
        <v>5</v>
      </c>
      <c r="B71" s="1" t="s">
        <v>181</v>
      </c>
      <c r="C71" s="5">
        <v>121219</v>
      </c>
    </row>
    <row r="72" spans="1:3" ht="15.75">
      <c r="A72" s="4"/>
      <c r="B72" s="41" t="s">
        <v>16</v>
      </c>
      <c r="C72" s="43">
        <f>C73+C83</f>
        <v>4160589</v>
      </c>
    </row>
    <row r="73" spans="1:3" ht="15.75">
      <c r="A73" s="41" t="s">
        <v>171</v>
      </c>
      <c r="B73" s="42" t="s">
        <v>10</v>
      </c>
      <c r="C73" s="43">
        <f>C74+C77+C80+C81+C82</f>
        <v>3883698</v>
      </c>
    </row>
    <row r="74" spans="1:3" ht="15.75">
      <c r="A74" s="4">
        <v>1</v>
      </c>
      <c r="B74" s="1" t="s">
        <v>268</v>
      </c>
      <c r="C74" s="5">
        <f>C75+C76</f>
        <v>2024229</v>
      </c>
    </row>
    <row r="75" spans="1:3" ht="15.75">
      <c r="A75" s="4"/>
      <c r="B75" s="95" t="s">
        <v>269</v>
      </c>
      <c r="C75" s="5">
        <v>586904</v>
      </c>
    </row>
    <row r="76" spans="1:3" ht="15.75">
      <c r="A76" s="4"/>
      <c r="B76" s="95" t="s">
        <v>270</v>
      </c>
      <c r="C76" s="5">
        <v>1437325</v>
      </c>
    </row>
    <row r="77" spans="1:3" ht="15.75">
      <c r="A77" s="4">
        <v>2</v>
      </c>
      <c r="B77" s="1" t="s">
        <v>237</v>
      </c>
      <c r="C77" s="139">
        <f>C78+C79</f>
        <v>1360888</v>
      </c>
    </row>
    <row r="78" spans="1:3" ht="15.75">
      <c r="A78" s="4"/>
      <c r="B78" s="95" t="s">
        <v>238</v>
      </c>
      <c r="C78" s="5">
        <v>393843</v>
      </c>
    </row>
    <row r="79" spans="1:3" ht="15.75">
      <c r="A79" s="4"/>
      <c r="B79" s="95" t="s">
        <v>245</v>
      </c>
      <c r="C79" s="5">
        <v>967045</v>
      </c>
    </row>
    <row r="80" spans="1:3" ht="15.75">
      <c r="A80" s="4">
        <v>4</v>
      </c>
      <c r="B80" s="1" t="s">
        <v>272</v>
      </c>
      <c r="C80" s="5">
        <v>158463</v>
      </c>
    </row>
    <row r="81" spans="1:3" ht="15.75">
      <c r="A81" s="4">
        <v>5</v>
      </c>
      <c r="B81" s="1" t="s">
        <v>448</v>
      </c>
      <c r="C81" s="92">
        <v>90000</v>
      </c>
    </row>
    <row r="82" spans="1:3" ht="15.75">
      <c r="A82" s="4">
        <v>6</v>
      </c>
      <c r="B82" s="1" t="s">
        <v>273</v>
      </c>
      <c r="C82" s="92">
        <v>250118</v>
      </c>
    </row>
    <row r="83" spans="1:3" ht="15.75">
      <c r="A83" s="41" t="s">
        <v>172</v>
      </c>
      <c r="B83" s="42" t="s">
        <v>248</v>
      </c>
      <c r="C83" s="43">
        <f>SUM(C84:C88)</f>
        <v>276891</v>
      </c>
    </row>
    <row r="84" spans="1:3" ht="15.75">
      <c r="A84" s="4">
        <v>1</v>
      </c>
      <c r="B84" s="1" t="s">
        <v>181</v>
      </c>
      <c r="C84" s="5">
        <v>121219</v>
      </c>
    </row>
    <row r="85" spans="1:3" ht="15.75">
      <c r="A85" s="4">
        <v>2</v>
      </c>
      <c r="B85" s="1" t="s">
        <v>267</v>
      </c>
      <c r="C85" s="5">
        <v>26981</v>
      </c>
    </row>
    <row r="86" spans="1:3" ht="15.75">
      <c r="A86" s="4">
        <v>3</v>
      </c>
      <c r="B86" s="1" t="s">
        <v>135</v>
      </c>
      <c r="C86" s="5">
        <v>7323</v>
      </c>
    </row>
    <row r="87" spans="1:3" ht="15.75">
      <c r="A87" s="4">
        <v>4</v>
      </c>
      <c r="B87" s="1" t="s">
        <v>1</v>
      </c>
      <c r="C87" s="5">
        <v>14835</v>
      </c>
    </row>
    <row r="88" spans="1:7" s="9" customFormat="1" ht="15.75">
      <c r="A88" s="94">
        <v>5</v>
      </c>
      <c r="B88" s="2" t="s">
        <v>128</v>
      </c>
      <c r="C88" s="68">
        <v>106533</v>
      </c>
      <c r="D88" s="135"/>
      <c r="E88" s="135"/>
      <c r="G88" s="135"/>
    </row>
  </sheetData>
  <mergeCells count="4">
    <mergeCell ref="A5:A6"/>
    <mergeCell ref="B5:B6"/>
    <mergeCell ref="A2:C2"/>
    <mergeCell ref="A3:C3"/>
  </mergeCells>
  <printOptions/>
  <pageMargins left="0.75" right="0.75" top="0.64" bottom="0.6" header="0.35" footer="0.5"/>
  <pageSetup horizontalDpi="1200" verticalDpi="1200" orientation="portrait" r:id="rId1"/>
  <ignoredErrors>
    <ignoredError sqref="C32 C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4" sqref="A4:C4"/>
    </sheetView>
  </sheetViews>
  <sheetFormatPr defaultColWidth="9.140625" defaultRowHeight="12.75"/>
  <cols>
    <col min="1" max="1" width="6.421875" style="6" bestFit="1" customWidth="1"/>
    <col min="2" max="2" width="65.140625" style="6" customWidth="1"/>
    <col min="3" max="3" width="19.421875" style="6" customWidth="1"/>
    <col min="4" max="4" width="9.140625" style="6" customWidth="1"/>
    <col min="5" max="5" width="11.140625" style="137" bestFit="1" customWidth="1"/>
    <col min="6" max="16384" width="9.140625" style="6" customWidth="1"/>
  </cols>
  <sheetData>
    <row r="1" spans="1:3" ht="15.75">
      <c r="A1" s="55" t="s">
        <v>510</v>
      </c>
      <c r="B1" s="55"/>
      <c r="C1" s="56"/>
    </row>
    <row r="2" spans="1:3" ht="15.75">
      <c r="A2" s="37"/>
      <c r="B2" s="9"/>
      <c r="C2" s="9"/>
    </row>
    <row r="3" spans="1:3" ht="18.75">
      <c r="A3" s="202" t="s">
        <v>441</v>
      </c>
      <c r="B3" s="202"/>
      <c r="C3" s="202"/>
    </row>
    <row r="4" spans="1:3" ht="23.25" customHeight="1">
      <c r="A4" s="195" t="s">
        <v>511</v>
      </c>
      <c r="B4" s="195"/>
      <c r="C4" s="195"/>
    </row>
    <row r="5" spans="1:3" ht="15.75">
      <c r="A5" s="206"/>
      <c r="B5" s="206"/>
      <c r="C5" s="206"/>
    </row>
    <row r="6" spans="1:3" ht="15.75">
      <c r="A6" s="37"/>
      <c r="B6" s="57"/>
      <c r="C6" s="57" t="s">
        <v>251</v>
      </c>
    </row>
    <row r="7" spans="1:3" ht="12.75">
      <c r="A7" s="199" t="s">
        <v>166</v>
      </c>
      <c r="B7" s="199" t="s">
        <v>242</v>
      </c>
      <c r="C7" s="199" t="s">
        <v>232</v>
      </c>
    </row>
    <row r="8" spans="1:3" ht="12.75">
      <c r="A8" s="205"/>
      <c r="B8" s="205"/>
      <c r="C8" s="200"/>
    </row>
    <row r="9" spans="1:3" ht="15.75">
      <c r="A9" s="41"/>
      <c r="B9" s="58" t="s">
        <v>138</v>
      </c>
      <c r="C9" s="40">
        <f>C10+C25</f>
        <v>3853561</v>
      </c>
    </row>
    <row r="10" spans="1:3" ht="15.75">
      <c r="A10" s="41" t="s">
        <v>171</v>
      </c>
      <c r="B10" s="59" t="s">
        <v>132</v>
      </c>
      <c r="C10" s="43">
        <f>C11+C15+C19+C20+C21+C22+C23+C24</f>
        <v>3596462</v>
      </c>
    </row>
    <row r="11" spans="1:3" ht="15.75">
      <c r="A11" s="60" t="s">
        <v>167</v>
      </c>
      <c r="B11" s="61" t="s">
        <v>233</v>
      </c>
      <c r="C11" s="43">
        <v>954327</v>
      </c>
    </row>
    <row r="12" spans="1:3" ht="15.75">
      <c r="A12" s="4"/>
      <c r="B12" s="62" t="s">
        <v>134</v>
      </c>
      <c r="C12" s="5"/>
    </row>
    <row r="13" spans="1:3" ht="15.75">
      <c r="A13" s="4"/>
      <c r="B13" s="63" t="s">
        <v>131</v>
      </c>
      <c r="C13" s="5">
        <v>58879</v>
      </c>
    </row>
    <row r="14" spans="1:3" ht="15.75">
      <c r="A14" s="4"/>
      <c r="B14" s="63" t="s">
        <v>136</v>
      </c>
      <c r="C14" s="5">
        <v>4000</v>
      </c>
    </row>
    <row r="15" spans="1:3" ht="15.75">
      <c r="A15" s="60" t="s">
        <v>169</v>
      </c>
      <c r="B15" s="61" t="s">
        <v>244</v>
      </c>
      <c r="C15" s="43">
        <v>2220978</v>
      </c>
    </row>
    <row r="16" spans="1:3" ht="15.75">
      <c r="A16" s="4"/>
      <c r="B16" s="62" t="s">
        <v>134</v>
      </c>
      <c r="C16" s="5"/>
    </row>
    <row r="17" spans="1:3" ht="15.75">
      <c r="A17" s="4"/>
      <c r="B17" s="63" t="s">
        <v>131</v>
      </c>
      <c r="C17" s="5">
        <f>804935</f>
        <v>804935</v>
      </c>
    </row>
    <row r="18" spans="1:3" ht="15.75">
      <c r="A18" s="4"/>
      <c r="B18" s="63" t="s">
        <v>136</v>
      </c>
      <c r="C18" s="5">
        <v>15762</v>
      </c>
    </row>
    <row r="19" spans="1:3" ht="33" customHeight="1">
      <c r="A19" s="64" t="s">
        <v>170</v>
      </c>
      <c r="B19" s="65" t="s">
        <v>130</v>
      </c>
      <c r="C19" s="66">
        <v>127803</v>
      </c>
    </row>
    <row r="20" spans="1:3" ht="15.75">
      <c r="A20" s="60" t="s">
        <v>173</v>
      </c>
      <c r="B20" s="61" t="s">
        <v>139</v>
      </c>
      <c r="C20" s="43"/>
    </row>
    <row r="21" spans="1:3" ht="15.75">
      <c r="A21" s="60" t="s">
        <v>174</v>
      </c>
      <c r="B21" s="61" t="s">
        <v>292</v>
      </c>
      <c r="C21" s="43">
        <v>139938</v>
      </c>
    </row>
    <row r="22" spans="1:3" ht="15.75">
      <c r="A22" s="60" t="s">
        <v>175</v>
      </c>
      <c r="B22" s="61" t="s">
        <v>133</v>
      </c>
      <c r="C22" s="43"/>
    </row>
    <row r="23" spans="1:3" ht="15.75">
      <c r="A23" s="60" t="s">
        <v>176</v>
      </c>
      <c r="B23" s="61" t="s">
        <v>241</v>
      </c>
      <c r="C23" s="45">
        <v>152261</v>
      </c>
    </row>
    <row r="24" spans="1:3" ht="15.75">
      <c r="A24" s="60" t="s">
        <v>178</v>
      </c>
      <c r="B24" s="61" t="s">
        <v>440</v>
      </c>
      <c r="C24" s="43">
        <v>1155</v>
      </c>
    </row>
    <row r="25" spans="1:3" ht="15.75">
      <c r="A25" s="41" t="s">
        <v>172</v>
      </c>
      <c r="B25" s="59" t="s">
        <v>137</v>
      </c>
      <c r="C25" s="43">
        <f>SUM(C26:C30)</f>
        <v>257099</v>
      </c>
    </row>
    <row r="26" spans="1:3" ht="15.75">
      <c r="A26" s="4">
        <v>1</v>
      </c>
      <c r="B26" s="1" t="s">
        <v>129</v>
      </c>
      <c r="C26" s="67">
        <v>101427</v>
      </c>
    </row>
    <row r="27" spans="1:3" ht="15.75">
      <c r="A27" s="4">
        <v>2</v>
      </c>
      <c r="B27" s="1" t="s">
        <v>267</v>
      </c>
      <c r="C27" s="67">
        <v>26981</v>
      </c>
    </row>
    <row r="28" spans="1:3" ht="15.75">
      <c r="A28" s="4">
        <v>3</v>
      </c>
      <c r="B28" s="1" t="s">
        <v>135</v>
      </c>
      <c r="C28" s="67">
        <v>7323</v>
      </c>
    </row>
    <row r="29" spans="1:3" ht="15.75">
      <c r="A29" s="4">
        <v>4</v>
      </c>
      <c r="B29" s="1" t="s">
        <v>1</v>
      </c>
      <c r="C29" s="67">
        <v>14835</v>
      </c>
    </row>
    <row r="30" spans="1:3" ht="15.75">
      <c r="A30" s="46">
        <v>5</v>
      </c>
      <c r="B30" s="2" t="s">
        <v>128</v>
      </c>
      <c r="C30" s="68">
        <v>106533</v>
      </c>
    </row>
  </sheetData>
  <mergeCells count="6">
    <mergeCell ref="A7:A8"/>
    <mergeCell ref="B7:B8"/>
    <mergeCell ref="C7:C8"/>
    <mergeCell ref="A3:C3"/>
    <mergeCell ref="A4:C4"/>
    <mergeCell ref="A5:C5"/>
  </mergeCells>
  <printOptions/>
  <pageMargins left="0.92" right="0.39" top="0.93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5" sqref="A5:C5"/>
    </sheetView>
  </sheetViews>
  <sheetFormatPr defaultColWidth="9.140625" defaultRowHeight="12.75"/>
  <cols>
    <col min="1" max="1" width="5.28125" style="6" customWidth="1"/>
    <col min="2" max="2" width="57.28125" style="6" customWidth="1"/>
    <col min="3" max="3" width="25.28125" style="6" customWidth="1"/>
    <col min="4" max="4" width="9.140625" style="6" customWidth="1"/>
    <col min="5" max="5" width="11.140625" style="137" bestFit="1" customWidth="1"/>
    <col min="6" max="6" width="13.8515625" style="6" bestFit="1" customWidth="1"/>
    <col min="7" max="16384" width="9.140625" style="6" customWidth="1"/>
  </cols>
  <sheetData>
    <row r="1" spans="1:3" ht="15.75">
      <c r="A1" s="201" t="s">
        <v>127</v>
      </c>
      <c r="B1" s="201"/>
      <c r="C1" s="56" t="s">
        <v>143</v>
      </c>
    </row>
    <row r="2" spans="1:3" ht="15.75">
      <c r="A2" s="37"/>
      <c r="B2" s="9"/>
      <c r="C2" s="9"/>
    </row>
    <row r="3" spans="1:3" ht="18.75">
      <c r="A3" s="202" t="s">
        <v>153</v>
      </c>
      <c r="B3" s="202"/>
      <c r="C3" s="202"/>
    </row>
    <row r="4" spans="1:3" ht="18.75">
      <c r="A4" s="202" t="s">
        <v>443</v>
      </c>
      <c r="B4" s="202"/>
      <c r="C4" s="202"/>
    </row>
    <row r="5" spans="1:3" ht="23.25" customHeight="1">
      <c r="A5" s="195" t="s">
        <v>511</v>
      </c>
      <c r="B5" s="195"/>
      <c r="C5" s="195"/>
    </row>
    <row r="6" spans="1:3" ht="15.75">
      <c r="A6" s="206"/>
      <c r="B6" s="206"/>
      <c r="C6" s="206"/>
    </row>
    <row r="7" spans="1:3" ht="15.75">
      <c r="A7" s="37"/>
      <c r="B7" s="9"/>
      <c r="C7" s="57" t="s">
        <v>251</v>
      </c>
    </row>
    <row r="8" spans="1:3" ht="12.75" customHeight="1">
      <c r="A8" s="203" t="s">
        <v>166</v>
      </c>
      <c r="B8" s="203" t="s">
        <v>242</v>
      </c>
      <c r="C8" s="199" t="s">
        <v>232</v>
      </c>
    </row>
    <row r="9" spans="1:3" ht="12.75" customHeight="1">
      <c r="A9" s="204"/>
      <c r="B9" s="204"/>
      <c r="C9" s="205"/>
    </row>
    <row r="10" spans="1:6" ht="15.75">
      <c r="A10" s="41"/>
      <c r="B10" s="41" t="s">
        <v>154</v>
      </c>
      <c r="C10" s="43">
        <f>C11+C14+C27+C28+C29+C30+C31+C32+C34+C33</f>
        <v>3853561</v>
      </c>
      <c r="F10" s="7"/>
    </row>
    <row r="11" spans="1:3" ht="15.75">
      <c r="A11" s="60" t="s">
        <v>167</v>
      </c>
      <c r="B11" s="69" t="s">
        <v>233</v>
      </c>
      <c r="C11" s="43">
        <f>C12+C13</f>
        <v>954327</v>
      </c>
    </row>
    <row r="12" spans="1:3" ht="15.75">
      <c r="A12" s="4">
        <v>1</v>
      </c>
      <c r="B12" s="1" t="s">
        <v>147</v>
      </c>
      <c r="C12" s="139">
        <v>952606</v>
      </c>
    </row>
    <row r="13" spans="1:3" ht="15.75">
      <c r="A13" s="4">
        <v>2</v>
      </c>
      <c r="B13" s="1" t="s">
        <v>145</v>
      </c>
      <c r="C13" s="139">
        <v>1721</v>
      </c>
    </row>
    <row r="14" spans="1:3" ht="15.75">
      <c r="A14" s="60" t="s">
        <v>169</v>
      </c>
      <c r="B14" s="69" t="s">
        <v>244</v>
      </c>
      <c r="C14" s="43">
        <f>SUM(C15:C26)</f>
        <v>2220978</v>
      </c>
    </row>
    <row r="15" spans="1:3" ht="15.75">
      <c r="A15" s="4">
        <v>1</v>
      </c>
      <c r="B15" s="1" t="s">
        <v>150</v>
      </c>
      <c r="C15" s="5">
        <v>75655</v>
      </c>
    </row>
    <row r="16" spans="1:3" ht="15.75">
      <c r="A16" s="4">
        <v>2</v>
      </c>
      <c r="B16" s="1" t="s">
        <v>177</v>
      </c>
      <c r="C16" s="5">
        <v>30480</v>
      </c>
    </row>
    <row r="17" spans="1:3" ht="15.75">
      <c r="A17" s="4">
        <v>3</v>
      </c>
      <c r="B17" s="1" t="s">
        <v>146</v>
      </c>
      <c r="C17" s="5">
        <v>804935</v>
      </c>
    </row>
    <row r="18" spans="1:3" ht="15.75">
      <c r="A18" s="4">
        <v>4</v>
      </c>
      <c r="B18" s="1" t="s">
        <v>140</v>
      </c>
      <c r="C18" s="5">
        <v>156495</v>
      </c>
    </row>
    <row r="19" spans="1:3" ht="15.75">
      <c r="A19" s="4">
        <v>5</v>
      </c>
      <c r="B19" s="1" t="s">
        <v>151</v>
      </c>
      <c r="C19" s="5">
        <v>15762</v>
      </c>
    </row>
    <row r="20" spans="1:3" ht="15.75">
      <c r="A20" s="4">
        <v>6</v>
      </c>
      <c r="B20" s="1" t="s">
        <v>293</v>
      </c>
      <c r="C20" s="5">
        <v>48359</v>
      </c>
    </row>
    <row r="21" spans="1:6" ht="15.75">
      <c r="A21" s="4">
        <v>7</v>
      </c>
      <c r="B21" s="1" t="s">
        <v>155</v>
      </c>
      <c r="C21" s="5">
        <v>18885</v>
      </c>
      <c r="F21" s="7"/>
    </row>
    <row r="22" spans="1:3" ht="15.75">
      <c r="A22" s="4">
        <v>8</v>
      </c>
      <c r="B22" s="1" t="s">
        <v>144</v>
      </c>
      <c r="C22" s="5">
        <v>92232</v>
      </c>
    </row>
    <row r="23" spans="1:3" ht="15.75">
      <c r="A23" s="4">
        <v>9</v>
      </c>
      <c r="B23" s="1" t="s">
        <v>141</v>
      </c>
      <c r="C23" s="5">
        <v>219489</v>
      </c>
    </row>
    <row r="24" spans="1:3" ht="15.75">
      <c r="A24" s="4">
        <v>10</v>
      </c>
      <c r="B24" s="1" t="s">
        <v>156</v>
      </c>
      <c r="C24" s="5">
        <v>647047</v>
      </c>
    </row>
    <row r="25" spans="1:3" ht="15.75">
      <c r="A25" s="4">
        <v>11</v>
      </c>
      <c r="B25" s="1" t="s">
        <v>157</v>
      </c>
      <c r="C25" s="5">
        <v>3268</v>
      </c>
    </row>
    <row r="26" spans="1:3" ht="15.75">
      <c r="A26" s="4">
        <v>12</v>
      </c>
      <c r="B26" s="1" t="s">
        <v>148</v>
      </c>
      <c r="C26" s="5">
        <v>108371</v>
      </c>
    </row>
    <row r="27" spans="1:3" ht="31.5">
      <c r="A27" s="64" t="s">
        <v>170</v>
      </c>
      <c r="B27" s="70" t="s">
        <v>130</v>
      </c>
      <c r="C27" s="169">
        <v>127803</v>
      </c>
    </row>
    <row r="28" spans="1:3" ht="15.75">
      <c r="A28" s="60" t="s">
        <v>173</v>
      </c>
      <c r="B28" s="69" t="s">
        <v>250</v>
      </c>
      <c r="C28" s="169">
        <v>139938</v>
      </c>
    </row>
    <row r="29" spans="1:3" ht="15.75">
      <c r="A29" s="60" t="s">
        <v>174</v>
      </c>
      <c r="B29" s="69" t="s">
        <v>149</v>
      </c>
      <c r="C29" s="170"/>
    </row>
    <row r="30" spans="1:3" ht="15.75">
      <c r="A30" s="60" t="s">
        <v>175</v>
      </c>
      <c r="B30" s="69" t="s">
        <v>241</v>
      </c>
      <c r="C30" s="169">
        <v>152261</v>
      </c>
    </row>
    <row r="31" spans="1:3" ht="15.75">
      <c r="A31" s="60" t="s">
        <v>176</v>
      </c>
      <c r="B31" s="69" t="s">
        <v>142</v>
      </c>
      <c r="C31" s="169"/>
    </row>
    <row r="32" spans="1:3" ht="15.75">
      <c r="A32" s="140" t="s">
        <v>178</v>
      </c>
      <c r="B32" s="141" t="s">
        <v>152</v>
      </c>
      <c r="C32" s="171">
        <v>257099</v>
      </c>
    </row>
    <row r="33" spans="1:3" ht="15.75">
      <c r="A33" s="60" t="s">
        <v>449</v>
      </c>
      <c r="B33" s="69" t="s">
        <v>451</v>
      </c>
      <c r="C33" s="172"/>
    </row>
    <row r="34" spans="1:3" ht="15.75">
      <c r="A34" s="110" t="s">
        <v>450</v>
      </c>
      <c r="B34" s="111" t="s">
        <v>440</v>
      </c>
      <c r="C34" s="173">
        <v>1155</v>
      </c>
    </row>
  </sheetData>
  <mergeCells count="8">
    <mergeCell ref="A6:C6"/>
    <mergeCell ref="A8:A9"/>
    <mergeCell ref="B8:B9"/>
    <mergeCell ref="A1:B1"/>
    <mergeCell ref="A3:C3"/>
    <mergeCell ref="A4:C4"/>
    <mergeCell ref="A5:C5"/>
    <mergeCell ref="C8:C9"/>
  </mergeCells>
  <printOptions/>
  <pageMargins left="0.95" right="0.46" top="1" bottom="1" header="0.5" footer="0.5"/>
  <pageSetup horizontalDpi="1200" verticalDpi="1200" orientation="portrait" r:id="rId1"/>
  <ignoredErrors>
    <ignoredError sqref="C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5"/>
  <sheetViews>
    <sheetView zoomScale="85" zoomScaleNormal="85" workbookViewId="0" topLeftCell="A4">
      <pane ySplit="1" topLeftCell="BM5" activePane="bottomLeft" state="frozen"/>
      <selection pane="topLeft" activeCell="A4" sqref="A4"/>
      <selection pane="bottomLeft" activeCell="A5" sqref="A5:V5"/>
    </sheetView>
  </sheetViews>
  <sheetFormatPr defaultColWidth="9.140625" defaultRowHeight="12.75"/>
  <cols>
    <col min="1" max="1" width="4.57421875" style="6" bestFit="1" customWidth="1"/>
    <col min="2" max="2" width="40.421875" style="6" customWidth="1"/>
    <col min="3" max="3" width="15.8515625" style="6" customWidth="1"/>
    <col min="4" max="4" width="12.421875" style="6" customWidth="1"/>
    <col min="5" max="5" width="11.00390625" style="6" customWidth="1"/>
    <col min="6" max="6" width="10.421875" style="6" customWidth="1"/>
    <col min="7" max="7" width="10.00390625" style="6" customWidth="1"/>
    <col min="8" max="8" width="7.8515625" style="6" customWidth="1"/>
    <col min="9" max="10" width="7.7109375" style="6" customWidth="1"/>
    <col min="11" max="11" width="8.8515625" style="6" bestFit="1" customWidth="1"/>
    <col min="12" max="12" width="9.8515625" style="6" customWidth="1"/>
    <col min="13" max="14" width="7.8515625" style="6" bestFit="1" customWidth="1"/>
    <col min="15" max="15" width="7.7109375" style="6" bestFit="1" customWidth="1"/>
    <col min="16" max="16" width="7.57421875" style="6" customWidth="1"/>
    <col min="17" max="17" width="8.8515625" style="6" bestFit="1" customWidth="1"/>
    <col min="18" max="19" width="8.28125" style="6" customWidth="1"/>
    <col min="20" max="20" width="7.57421875" style="6" customWidth="1"/>
    <col min="21" max="21" width="9.28125" style="6" customWidth="1"/>
    <col min="22" max="22" width="7.8515625" style="6" customWidth="1"/>
    <col min="23" max="16384" width="9.140625" style="6" customWidth="1"/>
  </cols>
  <sheetData>
    <row r="1" spans="1:22" ht="15.75">
      <c r="A1" s="209" t="s">
        <v>80</v>
      </c>
      <c r="B1" s="209"/>
      <c r="P1" s="207" t="s">
        <v>32</v>
      </c>
      <c r="Q1" s="207"/>
      <c r="R1" s="207"/>
      <c r="S1" s="207"/>
      <c r="T1" s="207"/>
      <c r="U1" s="207"/>
      <c r="V1" s="207"/>
    </row>
    <row r="2" spans="1:2" ht="15.75">
      <c r="A2" s="37"/>
      <c r="B2" s="9"/>
    </row>
    <row r="3" spans="1:22" ht="18.75">
      <c r="A3" s="202" t="s">
        <v>274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 ht="25.5">
      <c r="A4" s="210" t="s">
        <v>474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</row>
    <row r="5" spans="1:22" ht="25.5" customHeight="1">
      <c r="A5" s="208" t="s">
        <v>512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" ht="15.75">
      <c r="A6" s="206"/>
      <c r="B6" s="206"/>
    </row>
    <row r="7" spans="1:22" ht="15.75">
      <c r="A7" s="37"/>
      <c r="B7" s="9"/>
      <c r="Q7" s="211" t="s">
        <v>33</v>
      </c>
      <c r="R7" s="211"/>
      <c r="S7" s="211"/>
      <c r="T7" s="211"/>
      <c r="U7" s="211"/>
      <c r="V7" s="211"/>
    </row>
    <row r="8" spans="1:22" ht="15.75">
      <c r="A8" s="212" t="s">
        <v>166</v>
      </c>
      <c r="B8" s="222" t="s">
        <v>27</v>
      </c>
      <c r="C8" s="214" t="s">
        <v>50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6"/>
    </row>
    <row r="9" spans="1:22" ht="15.75" customHeight="1">
      <c r="A9" s="213"/>
      <c r="B9" s="223"/>
      <c r="C9" s="217" t="s">
        <v>160</v>
      </c>
      <c r="D9" s="219" t="s">
        <v>158</v>
      </c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1"/>
    </row>
    <row r="10" spans="1:22" ht="63.75">
      <c r="A10" s="71"/>
      <c r="B10" s="224"/>
      <c r="C10" s="218"/>
      <c r="D10" s="188" t="s">
        <v>475</v>
      </c>
      <c r="E10" s="188" t="s">
        <v>40</v>
      </c>
      <c r="F10" s="188" t="s">
        <v>55</v>
      </c>
      <c r="G10" s="188" t="s">
        <v>56</v>
      </c>
      <c r="H10" s="188" t="s">
        <v>305</v>
      </c>
      <c r="I10" s="188" t="s">
        <v>307</v>
      </c>
      <c r="J10" s="188" t="s">
        <v>315</v>
      </c>
      <c r="K10" s="188" t="s">
        <v>34</v>
      </c>
      <c r="L10" s="188" t="s">
        <v>20</v>
      </c>
      <c r="M10" s="188" t="s">
        <v>21</v>
      </c>
      <c r="N10" s="188" t="s">
        <v>22</v>
      </c>
      <c r="O10" s="188" t="s">
        <v>23</v>
      </c>
      <c r="P10" s="188" t="s">
        <v>36</v>
      </c>
      <c r="Q10" s="188" t="s">
        <v>77</v>
      </c>
      <c r="R10" s="188"/>
      <c r="S10" s="188" t="s">
        <v>352</v>
      </c>
      <c r="T10" s="188" t="s">
        <v>356</v>
      </c>
      <c r="U10" s="188" t="s">
        <v>28</v>
      </c>
      <c r="V10" s="188" t="s">
        <v>148</v>
      </c>
    </row>
    <row r="11" spans="1:22" ht="15.75">
      <c r="A11" s="72"/>
      <c r="B11" s="72" t="s">
        <v>161</v>
      </c>
      <c r="C11" s="73">
        <f>SUM(D11:V11)</f>
        <v>902527</v>
      </c>
      <c r="D11" s="74">
        <f aca="true" t="shared" si="0" ref="D11:Q11">SUM(D12:D133)</f>
        <v>5631</v>
      </c>
      <c r="E11" s="74">
        <f t="shared" si="0"/>
        <v>9029</v>
      </c>
      <c r="F11" s="74">
        <f t="shared" si="0"/>
        <v>41393</v>
      </c>
      <c r="G11" s="74">
        <f t="shared" si="0"/>
        <v>13358</v>
      </c>
      <c r="H11" s="74">
        <f t="shared" si="0"/>
        <v>15325</v>
      </c>
      <c r="I11" s="74">
        <f t="shared" si="0"/>
        <v>48892</v>
      </c>
      <c r="J11" s="74">
        <f t="shared" si="0"/>
        <v>24963</v>
      </c>
      <c r="K11" s="74">
        <f t="shared" si="0"/>
        <v>284836</v>
      </c>
      <c r="L11" s="74">
        <f t="shared" si="0"/>
        <v>88818</v>
      </c>
      <c r="M11" s="74">
        <f t="shared" si="0"/>
        <v>15262</v>
      </c>
      <c r="N11" s="74">
        <f t="shared" si="0"/>
        <v>33861</v>
      </c>
      <c r="O11" s="74">
        <f t="shared" si="0"/>
        <v>16525</v>
      </c>
      <c r="P11" s="74">
        <f t="shared" si="0"/>
        <v>55807</v>
      </c>
      <c r="Q11" s="74">
        <f t="shared" si="0"/>
        <v>107990</v>
      </c>
      <c r="R11" s="74">
        <f>R125</f>
        <v>64882</v>
      </c>
      <c r="S11" s="74">
        <f>SUM(S12:S133)</f>
        <v>21059</v>
      </c>
      <c r="T11" s="74">
        <f>SUM(T134:T150)</f>
        <v>9653</v>
      </c>
      <c r="U11" s="74">
        <f>SUM(U152:U154)</f>
        <v>33243</v>
      </c>
      <c r="V11" s="74">
        <f>V155</f>
        <v>12000</v>
      </c>
    </row>
    <row r="12" spans="1:22" ht="15.75">
      <c r="A12" s="75">
        <v>1</v>
      </c>
      <c r="B12" s="76" t="s">
        <v>41</v>
      </c>
      <c r="C12" s="67">
        <f>SUM(D12:V12)</f>
        <v>672</v>
      </c>
      <c r="D12" s="67">
        <v>672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15.75">
      <c r="A13" s="75">
        <v>2</v>
      </c>
      <c r="B13" s="76" t="s">
        <v>74</v>
      </c>
      <c r="C13" s="67">
        <f>SUM(D13:V13)</f>
        <v>4959</v>
      </c>
      <c r="D13" s="67">
        <v>4959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15.75">
      <c r="A14" s="75">
        <v>3</v>
      </c>
      <c r="B14" s="76" t="s">
        <v>42</v>
      </c>
      <c r="C14" s="67">
        <f aca="true" t="shared" si="1" ref="C14:C88">SUM(D14:V14)</f>
        <v>7812</v>
      </c>
      <c r="D14" s="67"/>
      <c r="E14" s="67">
        <f>6900+912</f>
        <v>7812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15.75">
      <c r="A15" s="75">
        <v>4</v>
      </c>
      <c r="B15" s="76" t="s">
        <v>43</v>
      </c>
      <c r="C15" s="67">
        <f t="shared" si="1"/>
        <v>1217</v>
      </c>
      <c r="D15" s="67"/>
      <c r="E15" s="67">
        <f>1160+57</f>
        <v>1217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5.75">
      <c r="A16" s="75">
        <v>5</v>
      </c>
      <c r="B16" s="76" t="s">
        <v>57</v>
      </c>
      <c r="C16" s="67">
        <f t="shared" si="1"/>
        <v>4322</v>
      </c>
      <c r="D16" s="67"/>
      <c r="E16" s="67"/>
      <c r="F16" s="67">
        <v>4322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5.75">
      <c r="A17" s="75">
        <v>6</v>
      </c>
      <c r="B17" s="76" t="s">
        <v>71</v>
      </c>
      <c r="C17" s="67">
        <f t="shared" si="1"/>
        <v>8842</v>
      </c>
      <c r="D17" s="67"/>
      <c r="E17" s="67"/>
      <c r="F17" s="67">
        <f>8308+534</f>
        <v>8842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15.75">
      <c r="A18" s="75">
        <v>7</v>
      </c>
      <c r="B18" s="76" t="s">
        <v>24</v>
      </c>
      <c r="C18" s="67">
        <f t="shared" si="1"/>
        <v>7657</v>
      </c>
      <c r="D18" s="67"/>
      <c r="E18" s="67"/>
      <c r="F18" s="67">
        <f>7136+521</f>
        <v>7657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15.75">
      <c r="A19" s="75">
        <v>8</v>
      </c>
      <c r="B19" s="76" t="s">
        <v>301</v>
      </c>
      <c r="C19" s="67">
        <f t="shared" si="1"/>
        <v>6050</v>
      </c>
      <c r="D19" s="67"/>
      <c r="E19" s="67"/>
      <c r="F19" s="67">
        <f>5910+140</f>
        <v>6050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6" ht="15.75">
      <c r="A20" s="75">
        <v>9</v>
      </c>
      <c r="B20" s="76" t="s">
        <v>58</v>
      </c>
      <c r="C20" s="67">
        <f t="shared" si="1"/>
        <v>1670</v>
      </c>
      <c r="D20" s="67"/>
      <c r="E20" s="67"/>
      <c r="F20" s="67">
        <f>1600+70</f>
        <v>1670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Z20" s="84"/>
    </row>
    <row r="21" spans="1:22" ht="15.75">
      <c r="A21" s="75">
        <v>10</v>
      </c>
      <c r="B21" s="76" t="s">
        <v>302</v>
      </c>
      <c r="C21" s="67">
        <f t="shared" si="1"/>
        <v>4074</v>
      </c>
      <c r="D21" s="67"/>
      <c r="E21" s="67"/>
      <c r="F21" s="67">
        <f>4000+74</f>
        <v>4074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5.75">
      <c r="A22" s="75">
        <v>11</v>
      </c>
      <c r="B22" s="76" t="s">
        <v>303</v>
      </c>
      <c r="C22" s="67">
        <f t="shared" si="1"/>
        <v>778</v>
      </c>
      <c r="D22" s="67"/>
      <c r="E22" s="67"/>
      <c r="F22" s="67">
        <f>714+64</f>
        <v>778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5.75">
      <c r="A23" s="75">
        <v>12</v>
      </c>
      <c r="B23" s="76" t="s">
        <v>29</v>
      </c>
      <c r="C23" s="67">
        <f t="shared" si="1"/>
        <v>3139</v>
      </c>
      <c r="D23" s="67"/>
      <c r="E23" s="67"/>
      <c r="F23" s="67">
        <f>3085+54</f>
        <v>3139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15.75">
      <c r="A24" s="75">
        <v>13</v>
      </c>
      <c r="B24" s="76" t="s">
        <v>44</v>
      </c>
      <c r="C24" s="67">
        <f t="shared" si="1"/>
        <v>2574</v>
      </c>
      <c r="D24" s="67"/>
      <c r="E24" s="67"/>
      <c r="F24" s="67">
        <f>2520+54</f>
        <v>2574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15.75">
      <c r="A25" s="75">
        <v>14</v>
      </c>
      <c r="B25" s="76" t="s">
        <v>304</v>
      </c>
      <c r="C25" s="67">
        <f t="shared" si="1"/>
        <v>1697</v>
      </c>
      <c r="D25" s="67"/>
      <c r="E25" s="67"/>
      <c r="F25" s="67">
        <f>1630+67</f>
        <v>1697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30">
      <c r="A26" s="75"/>
      <c r="B26" s="112" t="s">
        <v>476</v>
      </c>
      <c r="C26" s="67">
        <f t="shared" si="1"/>
        <v>590</v>
      </c>
      <c r="D26" s="67"/>
      <c r="E26" s="67"/>
      <c r="F26" s="67">
        <f>560+30</f>
        <v>590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15.75">
      <c r="A27" s="75"/>
      <c r="B27" s="112" t="s">
        <v>477</v>
      </c>
      <c r="C27" s="67">
        <f t="shared" si="1"/>
        <v>10000</v>
      </c>
      <c r="D27" s="67"/>
      <c r="E27" s="67"/>
      <c r="F27" s="67"/>
      <c r="G27" s="67">
        <v>10000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15.75">
      <c r="A28" s="75">
        <v>15</v>
      </c>
      <c r="B28" s="76" t="s">
        <v>59</v>
      </c>
      <c r="C28" s="67">
        <f t="shared" si="1"/>
        <v>2229</v>
      </c>
      <c r="D28" s="67"/>
      <c r="E28" s="67"/>
      <c r="F28" s="67"/>
      <c r="G28" s="67">
        <f>2080+149</f>
        <v>2229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15.75">
      <c r="A29" s="75">
        <v>16</v>
      </c>
      <c r="B29" s="76" t="s">
        <v>72</v>
      </c>
      <c r="C29" s="67">
        <f t="shared" si="1"/>
        <v>1129</v>
      </c>
      <c r="D29" s="67"/>
      <c r="E29" s="67"/>
      <c r="F29" s="67"/>
      <c r="G29" s="67">
        <f>1062+67</f>
        <v>1129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5.75">
      <c r="A30" s="75">
        <v>17</v>
      </c>
      <c r="B30" s="76" t="s">
        <v>306</v>
      </c>
      <c r="C30" s="67">
        <f t="shared" si="1"/>
        <v>917</v>
      </c>
      <c r="D30" s="67"/>
      <c r="E30" s="67"/>
      <c r="F30" s="67"/>
      <c r="G30" s="67"/>
      <c r="H30" s="67">
        <f>846+71</f>
        <v>917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5.75">
      <c r="A31" s="75">
        <v>18</v>
      </c>
      <c r="B31" s="76" t="s">
        <v>73</v>
      </c>
      <c r="C31" s="67">
        <f t="shared" si="1"/>
        <v>1831</v>
      </c>
      <c r="D31" s="67"/>
      <c r="E31" s="67"/>
      <c r="F31" s="67"/>
      <c r="G31" s="67"/>
      <c r="H31" s="67">
        <f>1768+63</f>
        <v>1831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5.75">
      <c r="A32" s="75"/>
      <c r="B32" s="76" t="s">
        <v>478</v>
      </c>
      <c r="C32" s="67">
        <f t="shared" si="1"/>
        <v>917</v>
      </c>
      <c r="D32" s="67"/>
      <c r="E32" s="67"/>
      <c r="F32" s="67"/>
      <c r="G32" s="67"/>
      <c r="H32" s="67">
        <f>880+37</f>
        <v>917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15.75">
      <c r="A33" s="75">
        <v>19</v>
      </c>
      <c r="B33" s="76" t="s">
        <v>101</v>
      </c>
      <c r="C33" s="67">
        <f t="shared" si="1"/>
        <v>11660</v>
      </c>
      <c r="D33" s="67"/>
      <c r="E33" s="67"/>
      <c r="F33" s="67"/>
      <c r="G33" s="67"/>
      <c r="H33" s="67">
        <v>11660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15.75">
      <c r="A34" s="75">
        <v>20</v>
      </c>
      <c r="B34" s="76" t="s">
        <v>308</v>
      </c>
      <c r="C34" s="67">
        <f t="shared" si="1"/>
        <v>768</v>
      </c>
      <c r="D34" s="67"/>
      <c r="E34" s="67"/>
      <c r="F34" s="67"/>
      <c r="G34" s="67"/>
      <c r="H34" s="67"/>
      <c r="I34" s="67">
        <f>712+56</f>
        <v>768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5.75">
      <c r="A35" s="75">
        <v>22</v>
      </c>
      <c r="B35" s="76" t="s">
        <v>309</v>
      </c>
      <c r="C35" s="67">
        <f t="shared" si="1"/>
        <v>573</v>
      </c>
      <c r="D35" s="67"/>
      <c r="E35" s="67"/>
      <c r="F35" s="67"/>
      <c r="G35" s="67"/>
      <c r="H35" s="67"/>
      <c r="I35" s="67">
        <f>510+63</f>
        <v>573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15.75">
      <c r="A36" s="75">
        <v>23</v>
      </c>
      <c r="B36" s="76" t="s">
        <v>45</v>
      </c>
      <c r="C36" s="67">
        <f t="shared" si="1"/>
        <v>1758</v>
      </c>
      <c r="D36" s="67"/>
      <c r="E36" s="67"/>
      <c r="F36" s="67"/>
      <c r="G36" s="67"/>
      <c r="H36" s="67"/>
      <c r="I36" s="67">
        <f>1640+118</f>
        <v>1758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5.75">
      <c r="A37" s="75">
        <v>24</v>
      </c>
      <c r="B37" s="76" t="s">
        <v>479</v>
      </c>
      <c r="C37" s="67">
        <f t="shared" si="1"/>
        <v>4676</v>
      </c>
      <c r="D37" s="67"/>
      <c r="E37" s="67"/>
      <c r="F37" s="67"/>
      <c r="G37" s="67"/>
      <c r="H37" s="67"/>
      <c r="I37" s="67">
        <f>4584+92</f>
        <v>4676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5.75">
      <c r="A38" s="75">
        <v>25</v>
      </c>
      <c r="B38" s="76" t="s">
        <v>310</v>
      </c>
      <c r="C38" s="67">
        <f t="shared" si="1"/>
        <v>3347</v>
      </c>
      <c r="D38" s="67"/>
      <c r="E38" s="67"/>
      <c r="F38" s="67"/>
      <c r="G38" s="67"/>
      <c r="H38" s="67"/>
      <c r="I38" s="67">
        <f>3270+77</f>
        <v>3347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5.75">
      <c r="A39" s="75">
        <v>26</v>
      </c>
      <c r="B39" s="76" t="s">
        <v>46</v>
      </c>
      <c r="C39" s="67">
        <f t="shared" si="1"/>
        <v>204</v>
      </c>
      <c r="D39" s="67"/>
      <c r="E39" s="67"/>
      <c r="F39" s="67"/>
      <c r="G39" s="67"/>
      <c r="H39" s="67"/>
      <c r="I39" s="67">
        <f>180+24</f>
        <v>204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5.75">
      <c r="A40" s="75">
        <v>28</v>
      </c>
      <c r="B40" s="76" t="s">
        <v>311</v>
      </c>
      <c r="C40" s="67">
        <f t="shared" si="1"/>
        <v>1116</v>
      </c>
      <c r="D40" s="67"/>
      <c r="E40" s="67"/>
      <c r="F40" s="67"/>
      <c r="G40" s="67"/>
      <c r="H40" s="67"/>
      <c r="I40" s="67">
        <f>1060+56</f>
        <v>1116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5.75">
      <c r="A41" s="75">
        <v>29</v>
      </c>
      <c r="B41" s="76" t="s">
        <v>480</v>
      </c>
      <c r="C41" s="67">
        <f t="shared" si="1"/>
        <v>929</v>
      </c>
      <c r="D41" s="67"/>
      <c r="E41" s="67"/>
      <c r="F41" s="67"/>
      <c r="G41" s="67"/>
      <c r="H41" s="67"/>
      <c r="I41" s="67">
        <f>880+49</f>
        <v>929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5.75">
      <c r="A42" s="75">
        <v>30</v>
      </c>
      <c r="B42" s="76" t="s">
        <v>481</v>
      </c>
      <c r="C42" s="67">
        <f t="shared" si="1"/>
        <v>751</v>
      </c>
      <c r="D42" s="67"/>
      <c r="E42" s="67"/>
      <c r="F42" s="67"/>
      <c r="G42" s="67"/>
      <c r="H42" s="67"/>
      <c r="I42" s="67">
        <f>720+31</f>
        <v>751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5.75">
      <c r="A43" s="75">
        <v>31</v>
      </c>
      <c r="B43" s="76" t="s">
        <v>312</v>
      </c>
      <c r="C43" s="67">
        <f t="shared" si="1"/>
        <v>12000</v>
      </c>
      <c r="D43" s="67"/>
      <c r="E43" s="67"/>
      <c r="F43" s="67"/>
      <c r="G43" s="67"/>
      <c r="H43" s="67"/>
      <c r="I43" s="67">
        <v>12000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45">
      <c r="A44" s="75">
        <v>33</v>
      </c>
      <c r="B44" s="112" t="s">
        <v>482</v>
      </c>
      <c r="C44" s="67">
        <f t="shared" si="1"/>
        <v>11770</v>
      </c>
      <c r="D44" s="67"/>
      <c r="E44" s="67"/>
      <c r="F44" s="67"/>
      <c r="G44" s="67"/>
      <c r="H44" s="67"/>
      <c r="I44" s="67">
        <v>11770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5.75">
      <c r="A45" s="75">
        <v>34</v>
      </c>
      <c r="B45" s="76" t="s">
        <v>313</v>
      </c>
      <c r="C45" s="67">
        <f t="shared" si="1"/>
        <v>1000</v>
      </c>
      <c r="D45" s="67"/>
      <c r="E45" s="67"/>
      <c r="F45" s="67"/>
      <c r="G45" s="67"/>
      <c r="H45" s="67"/>
      <c r="I45" s="67">
        <v>1000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5.75">
      <c r="A46" s="75">
        <v>35</v>
      </c>
      <c r="B46" s="76" t="s">
        <v>314</v>
      </c>
      <c r="C46" s="67">
        <f t="shared" si="1"/>
        <v>10000</v>
      </c>
      <c r="D46" s="67"/>
      <c r="E46" s="67"/>
      <c r="F46" s="67"/>
      <c r="G46" s="67"/>
      <c r="H46" s="67"/>
      <c r="I46" s="67">
        <v>10000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5.75">
      <c r="A47" s="75">
        <v>36</v>
      </c>
      <c r="B47" s="76" t="s">
        <v>60</v>
      </c>
      <c r="C47" s="67">
        <f t="shared" si="1"/>
        <v>1617</v>
      </c>
      <c r="D47" s="67"/>
      <c r="E47" s="67"/>
      <c r="F47" s="67"/>
      <c r="G47" s="67"/>
      <c r="H47" s="67"/>
      <c r="I47" s="67"/>
      <c r="J47" s="67">
        <f>1536+81</f>
        <v>1617</v>
      </c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5.75">
      <c r="A48" s="75">
        <v>37</v>
      </c>
      <c r="B48" s="76" t="s">
        <v>316</v>
      </c>
      <c r="C48" s="67">
        <f t="shared" si="1"/>
        <v>11346</v>
      </c>
      <c r="D48" s="67"/>
      <c r="E48" s="67"/>
      <c r="F48" s="67"/>
      <c r="G48" s="67"/>
      <c r="H48" s="67"/>
      <c r="I48" s="67"/>
      <c r="J48" s="67">
        <f>7904+3442</f>
        <v>11346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5.75">
      <c r="A49" s="75">
        <v>38</v>
      </c>
      <c r="B49" s="76" t="s">
        <v>317</v>
      </c>
      <c r="C49" s="67">
        <f t="shared" si="1"/>
        <v>12000</v>
      </c>
      <c r="D49" s="67"/>
      <c r="E49" s="67"/>
      <c r="F49" s="67"/>
      <c r="G49" s="67"/>
      <c r="H49" s="67"/>
      <c r="I49" s="67"/>
      <c r="J49" s="67">
        <v>12000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5.75">
      <c r="A50" s="75">
        <v>39</v>
      </c>
      <c r="B50" s="76" t="s">
        <v>318</v>
      </c>
      <c r="C50" s="67">
        <f t="shared" si="1"/>
        <v>209810</v>
      </c>
      <c r="D50" s="67"/>
      <c r="E50" s="67"/>
      <c r="F50" s="67"/>
      <c r="G50" s="67"/>
      <c r="H50" s="67"/>
      <c r="I50" s="67"/>
      <c r="J50" s="67"/>
      <c r="K50" s="67">
        <f>177888+31922</f>
        <v>209810</v>
      </c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5.75">
      <c r="A51" s="75">
        <v>40</v>
      </c>
      <c r="B51" s="76" t="s">
        <v>319</v>
      </c>
      <c r="C51" s="67">
        <f t="shared" si="1"/>
        <v>9136</v>
      </c>
      <c r="D51" s="67"/>
      <c r="E51" s="67"/>
      <c r="F51" s="67"/>
      <c r="G51" s="67"/>
      <c r="H51" s="67"/>
      <c r="I51" s="67"/>
      <c r="J51" s="67"/>
      <c r="K51" s="67">
        <f>7501+1635</f>
        <v>9136</v>
      </c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5.75">
      <c r="A52" s="75">
        <v>41</v>
      </c>
      <c r="B52" s="76" t="s">
        <v>320</v>
      </c>
      <c r="C52" s="67">
        <f t="shared" si="1"/>
        <v>12115</v>
      </c>
      <c r="D52" s="67"/>
      <c r="E52" s="67"/>
      <c r="F52" s="67"/>
      <c r="G52" s="67"/>
      <c r="H52" s="67"/>
      <c r="I52" s="67"/>
      <c r="J52" s="67"/>
      <c r="K52" s="67">
        <f>8991+3124</f>
        <v>12115</v>
      </c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5.75">
      <c r="A53" s="75">
        <v>42</v>
      </c>
      <c r="B53" s="76" t="s">
        <v>321</v>
      </c>
      <c r="C53" s="67">
        <f t="shared" si="1"/>
        <v>9647</v>
      </c>
      <c r="D53" s="67"/>
      <c r="E53" s="67"/>
      <c r="F53" s="67"/>
      <c r="G53" s="67"/>
      <c r="H53" s="67"/>
      <c r="I53" s="67"/>
      <c r="J53" s="67"/>
      <c r="K53" s="67">
        <f>9264+383</f>
        <v>9647</v>
      </c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5.75">
      <c r="A54" s="75">
        <v>43</v>
      </c>
      <c r="B54" s="76" t="s">
        <v>30</v>
      </c>
      <c r="C54" s="67">
        <f t="shared" si="1"/>
        <v>14047</v>
      </c>
      <c r="D54" s="67"/>
      <c r="E54" s="67"/>
      <c r="F54" s="67"/>
      <c r="G54" s="67"/>
      <c r="H54" s="67"/>
      <c r="I54" s="67"/>
      <c r="J54" s="67"/>
      <c r="K54" s="67">
        <f>13829+218</f>
        <v>14047</v>
      </c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5.75">
      <c r="A55" s="75">
        <v>44</v>
      </c>
      <c r="B55" s="76" t="s">
        <v>322</v>
      </c>
      <c r="C55" s="67">
        <f t="shared" si="1"/>
        <v>4795</v>
      </c>
      <c r="D55" s="67"/>
      <c r="E55" s="67"/>
      <c r="F55" s="67"/>
      <c r="G55" s="67"/>
      <c r="H55" s="67"/>
      <c r="I55" s="67"/>
      <c r="J55" s="67"/>
      <c r="K55" s="67">
        <f>4340+455</f>
        <v>4795</v>
      </c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5.75">
      <c r="A56" s="75">
        <v>45</v>
      </c>
      <c r="B56" s="76" t="s">
        <v>61</v>
      </c>
      <c r="C56" s="67">
        <f t="shared" si="1"/>
        <v>7286</v>
      </c>
      <c r="D56" s="67"/>
      <c r="E56" s="67"/>
      <c r="F56" s="67"/>
      <c r="G56" s="67"/>
      <c r="H56" s="67"/>
      <c r="I56" s="67"/>
      <c r="J56" s="67"/>
      <c r="K56" s="67">
        <f>6740+546</f>
        <v>7286</v>
      </c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5.75">
      <c r="A57" s="75">
        <v>46</v>
      </c>
      <c r="B57" s="76" t="s">
        <v>483</v>
      </c>
      <c r="C57" s="67">
        <f t="shared" si="1"/>
        <v>18000</v>
      </c>
      <c r="D57" s="67"/>
      <c r="E57" s="67"/>
      <c r="F57" s="67"/>
      <c r="G57" s="67"/>
      <c r="H57" s="67"/>
      <c r="I57" s="67"/>
      <c r="J57" s="67"/>
      <c r="K57" s="67">
        <v>18000</v>
      </c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5.75">
      <c r="A58" s="75">
        <v>47</v>
      </c>
      <c r="B58" s="76" t="s">
        <v>484</v>
      </c>
      <c r="C58" s="67">
        <f t="shared" si="1"/>
        <v>1636</v>
      </c>
      <c r="D58" s="67"/>
      <c r="E58" s="67"/>
      <c r="F58" s="67"/>
      <c r="G58" s="67"/>
      <c r="H58" s="67"/>
      <c r="I58" s="67"/>
      <c r="J58" s="67"/>
      <c r="K58" s="67"/>
      <c r="L58" s="67">
        <f>1310+326</f>
        <v>1636</v>
      </c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5.75">
      <c r="A59" s="75"/>
      <c r="B59" s="76" t="s">
        <v>485</v>
      </c>
      <c r="C59" s="67">
        <f t="shared" si="1"/>
        <v>1598</v>
      </c>
      <c r="D59" s="67"/>
      <c r="E59" s="67"/>
      <c r="F59" s="67"/>
      <c r="G59" s="67"/>
      <c r="H59" s="67"/>
      <c r="I59" s="67"/>
      <c r="J59" s="67"/>
      <c r="K59" s="67"/>
      <c r="L59" s="67">
        <f>1450+148</f>
        <v>1598</v>
      </c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5.75">
      <c r="A60" s="75"/>
      <c r="B60" s="76" t="s">
        <v>486</v>
      </c>
      <c r="C60" s="67">
        <f t="shared" si="1"/>
        <v>4341</v>
      </c>
      <c r="D60" s="67"/>
      <c r="E60" s="67"/>
      <c r="F60" s="67"/>
      <c r="G60" s="67"/>
      <c r="H60" s="67"/>
      <c r="I60" s="67"/>
      <c r="J60" s="67"/>
      <c r="K60" s="67"/>
      <c r="L60" s="67">
        <f>3600+741</f>
        <v>4341</v>
      </c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5.75">
      <c r="A61" s="75"/>
      <c r="B61" s="76" t="s">
        <v>487</v>
      </c>
      <c r="C61" s="67">
        <f t="shared" si="1"/>
        <v>2520</v>
      </c>
      <c r="D61" s="67"/>
      <c r="E61" s="67"/>
      <c r="F61" s="67"/>
      <c r="G61" s="67"/>
      <c r="H61" s="67"/>
      <c r="I61" s="67"/>
      <c r="J61" s="67"/>
      <c r="K61" s="67"/>
      <c r="L61" s="67">
        <f>2030+490</f>
        <v>2520</v>
      </c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5.75">
      <c r="A62" s="75"/>
      <c r="B62" s="76" t="s">
        <v>488</v>
      </c>
      <c r="C62" s="67">
        <f t="shared" si="1"/>
        <v>2634</v>
      </c>
      <c r="D62" s="67"/>
      <c r="E62" s="67"/>
      <c r="F62" s="67"/>
      <c r="G62" s="67"/>
      <c r="H62" s="67"/>
      <c r="I62" s="67"/>
      <c r="J62" s="67"/>
      <c r="K62" s="67"/>
      <c r="L62" s="67">
        <f>2165+469</f>
        <v>2634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5.75">
      <c r="A63" s="75"/>
      <c r="B63" s="76" t="s">
        <v>489</v>
      </c>
      <c r="C63" s="67">
        <f t="shared" si="1"/>
        <v>3989</v>
      </c>
      <c r="D63" s="67"/>
      <c r="E63" s="67"/>
      <c r="F63" s="67"/>
      <c r="G63" s="67"/>
      <c r="H63" s="67"/>
      <c r="I63" s="67"/>
      <c r="J63" s="67"/>
      <c r="K63" s="67"/>
      <c r="L63" s="67">
        <f>3210+779</f>
        <v>3989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5.75">
      <c r="A64" s="75"/>
      <c r="B64" s="76" t="s">
        <v>490</v>
      </c>
      <c r="C64" s="67">
        <f t="shared" si="1"/>
        <v>2546</v>
      </c>
      <c r="D64" s="67"/>
      <c r="E64" s="67"/>
      <c r="F64" s="67"/>
      <c r="G64" s="67"/>
      <c r="H64" s="67"/>
      <c r="I64" s="67"/>
      <c r="J64" s="67"/>
      <c r="K64" s="67"/>
      <c r="L64" s="67">
        <f>2080+466</f>
        <v>2546</v>
      </c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5.75">
      <c r="A65" s="75"/>
      <c r="B65" s="76" t="s">
        <v>491</v>
      </c>
      <c r="C65" s="67">
        <f t="shared" si="1"/>
        <v>2030</v>
      </c>
      <c r="D65" s="67"/>
      <c r="E65" s="67"/>
      <c r="F65" s="67"/>
      <c r="G65" s="67"/>
      <c r="H65" s="67"/>
      <c r="I65" s="67"/>
      <c r="J65" s="67"/>
      <c r="K65" s="67"/>
      <c r="L65" s="67">
        <f>1720+310</f>
        <v>2030</v>
      </c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5.75">
      <c r="A66" s="75"/>
      <c r="B66" s="76" t="s">
        <v>492</v>
      </c>
      <c r="C66" s="67">
        <f t="shared" si="1"/>
        <v>2030</v>
      </c>
      <c r="D66" s="67"/>
      <c r="E66" s="67"/>
      <c r="F66" s="67"/>
      <c r="G66" s="67"/>
      <c r="H66" s="67"/>
      <c r="I66" s="67"/>
      <c r="J66" s="67"/>
      <c r="K66" s="67"/>
      <c r="L66" s="67">
        <f>1720+310</f>
        <v>2030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5.75">
      <c r="A67" s="75"/>
      <c r="B67" s="76" t="s">
        <v>493</v>
      </c>
      <c r="C67" s="67">
        <f t="shared" si="1"/>
        <v>1674</v>
      </c>
      <c r="D67" s="67"/>
      <c r="E67" s="67"/>
      <c r="F67" s="67"/>
      <c r="G67" s="67"/>
      <c r="H67" s="67"/>
      <c r="I67" s="67"/>
      <c r="J67" s="67"/>
      <c r="K67" s="67"/>
      <c r="L67" s="67">
        <f>1480+194</f>
        <v>1674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5.75">
      <c r="A68" s="75">
        <v>48</v>
      </c>
      <c r="B68" s="76" t="s">
        <v>159</v>
      </c>
      <c r="C68" s="67">
        <f t="shared" si="1"/>
        <v>4700</v>
      </c>
      <c r="D68" s="67"/>
      <c r="E68" s="67"/>
      <c r="F68" s="67"/>
      <c r="G68" s="67"/>
      <c r="H68" s="67"/>
      <c r="I68" s="67"/>
      <c r="J68" s="67"/>
      <c r="K68" s="67"/>
      <c r="L68" s="67">
        <v>4700</v>
      </c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5.75">
      <c r="A69" s="75">
        <v>49</v>
      </c>
      <c r="B69" s="76" t="s">
        <v>323</v>
      </c>
      <c r="C69" s="67">
        <f t="shared" si="1"/>
        <v>35300</v>
      </c>
      <c r="D69" s="67"/>
      <c r="E69" s="67"/>
      <c r="F69" s="67"/>
      <c r="G69" s="67"/>
      <c r="H69" s="67"/>
      <c r="I69" s="67"/>
      <c r="J69" s="67"/>
      <c r="K69" s="67"/>
      <c r="L69" s="67">
        <v>35300</v>
      </c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 ht="15.75">
      <c r="A70" s="75">
        <v>50</v>
      </c>
      <c r="B70" s="76" t="s">
        <v>324</v>
      </c>
      <c r="C70" s="67">
        <f t="shared" si="1"/>
        <v>21620</v>
      </c>
      <c r="D70" s="67"/>
      <c r="E70" s="67"/>
      <c r="F70" s="67"/>
      <c r="G70" s="67"/>
      <c r="H70" s="67"/>
      <c r="I70" s="67"/>
      <c r="J70" s="67"/>
      <c r="K70" s="67"/>
      <c r="L70" s="67">
        <v>21620</v>
      </c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ht="15.75">
      <c r="A71" s="75">
        <v>51</v>
      </c>
      <c r="B71" s="76" t="s">
        <v>325</v>
      </c>
      <c r="C71" s="67">
        <f t="shared" si="1"/>
        <v>2200</v>
      </c>
      <c r="D71" s="67"/>
      <c r="E71" s="67"/>
      <c r="F71" s="67"/>
      <c r="G71" s="67"/>
      <c r="H71" s="67"/>
      <c r="I71" s="67"/>
      <c r="J71" s="67"/>
      <c r="K71" s="67"/>
      <c r="L71" s="67">
        <v>2200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ht="15.75">
      <c r="A72" s="75">
        <v>52</v>
      </c>
      <c r="B72" s="76" t="s">
        <v>64</v>
      </c>
      <c r="C72" s="67">
        <f t="shared" si="1"/>
        <v>12780</v>
      </c>
      <c r="D72" s="67"/>
      <c r="E72" s="67"/>
      <c r="F72" s="67"/>
      <c r="G72" s="67"/>
      <c r="H72" s="67"/>
      <c r="I72" s="67"/>
      <c r="J72" s="67"/>
      <c r="K72" s="67"/>
      <c r="L72" s="67"/>
      <c r="M72" s="67">
        <v>12780</v>
      </c>
      <c r="N72" s="67"/>
      <c r="O72" s="67"/>
      <c r="P72" s="67"/>
      <c r="Q72" s="67"/>
      <c r="R72" s="67"/>
      <c r="S72" s="67"/>
      <c r="T72" s="67"/>
      <c r="U72" s="67"/>
      <c r="V72" s="67"/>
    </row>
    <row r="73" spans="1:22" ht="15.75">
      <c r="A73" s="75">
        <v>53</v>
      </c>
      <c r="B73" s="76" t="s">
        <v>326</v>
      </c>
      <c r="C73" s="67">
        <f t="shared" si="1"/>
        <v>666</v>
      </c>
      <c r="D73" s="67"/>
      <c r="E73" s="67"/>
      <c r="F73" s="67"/>
      <c r="G73" s="67"/>
      <c r="H73" s="67"/>
      <c r="I73" s="67"/>
      <c r="J73" s="67"/>
      <c r="K73" s="67"/>
      <c r="L73" s="67"/>
      <c r="M73" s="67">
        <f>624+42</f>
        <v>666</v>
      </c>
      <c r="N73" s="67"/>
      <c r="O73" s="67"/>
      <c r="P73" s="67"/>
      <c r="Q73" s="67"/>
      <c r="R73" s="67"/>
      <c r="S73" s="67"/>
      <c r="T73" s="67"/>
      <c r="U73" s="67"/>
      <c r="V73" s="67"/>
    </row>
    <row r="74" spans="1:22" ht="15.75">
      <c r="A74" s="75">
        <v>54</v>
      </c>
      <c r="B74" s="76" t="s">
        <v>327</v>
      </c>
      <c r="C74" s="67">
        <f t="shared" si="1"/>
        <v>1042</v>
      </c>
      <c r="D74" s="67"/>
      <c r="E74" s="67"/>
      <c r="F74" s="67"/>
      <c r="G74" s="67"/>
      <c r="H74" s="67"/>
      <c r="I74" s="67"/>
      <c r="J74" s="67"/>
      <c r="K74" s="67"/>
      <c r="L74" s="67"/>
      <c r="M74" s="67">
        <f>1010+32</f>
        <v>1042</v>
      </c>
      <c r="N74" s="67"/>
      <c r="O74" s="67"/>
      <c r="P74" s="67"/>
      <c r="Q74" s="67"/>
      <c r="R74" s="67"/>
      <c r="S74" s="67"/>
      <c r="T74" s="67"/>
      <c r="U74" s="67"/>
      <c r="V74" s="67"/>
    </row>
    <row r="75" spans="1:22" ht="15.75">
      <c r="A75" s="75"/>
      <c r="B75" s="76" t="s">
        <v>494</v>
      </c>
      <c r="C75" s="67">
        <f t="shared" si="1"/>
        <v>774</v>
      </c>
      <c r="D75" s="67"/>
      <c r="E75" s="67"/>
      <c r="F75" s="67"/>
      <c r="G75" s="67"/>
      <c r="H75" s="67"/>
      <c r="I75" s="67"/>
      <c r="J75" s="67"/>
      <c r="K75" s="67"/>
      <c r="L75" s="67"/>
      <c r="M75" s="67">
        <v>774</v>
      </c>
      <c r="N75" s="67"/>
      <c r="O75" s="67"/>
      <c r="P75" s="67"/>
      <c r="Q75" s="67"/>
      <c r="R75" s="67"/>
      <c r="S75" s="67"/>
      <c r="T75" s="67"/>
      <c r="U75" s="67"/>
      <c r="V75" s="67"/>
    </row>
    <row r="76" spans="1:22" ht="15.75">
      <c r="A76" s="75">
        <v>55</v>
      </c>
      <c r="B76" s="76" t="s">
        <v>328</v>
      </c>
      <c r="C76" s="67">
        <f t="shared" si="1"/>
        <v>4650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>
        <v>4650</v>
      </c>
      <c r="O76" s="67"/>
      <c r="P76" s="67"/>
      <c r="Q76" s="67"/>
      <c r="R76" s="67"/>
      <c r="S76" s="67"/>
      <c r="T76" s="67"/>
      <c r="U76" s="67"/>
      <c r="V76" s="67"/>
    </row>
    <row r="77" spans="1:22" ht="15.75">
      <c r="A77" s="75">
        <v>56</v>
      </c>
      <c r="B77" s="76" t="s">
        <v>329</v>
      </c>
      <c r="C77" s="67">
        <f t="shared" si="1"/>
        <v>1851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>
        <f>1780+71</f>
        <v>1851</v>
      </c>
      <c r="O77" s="67"/>
      <c r="P77" s="67"/>
      <c r="Q77" s="67"/>
      <c r="R77" s="67"/>
      <c r="S77" s="67"/>
      <c r="T77" s="67"/>
      <c r="U77" s="67"/>
      <c r="V77" s="67"/>
    </row>
    <row r="78" spans="1:22" ht="15.75">
      <c r="A78" s="75">
        <v>57</v>
      </c>
      <c r="B78" s="76" t="s">
        <v>330</v>
      </c>
      <c r="C78" s="67">
        <f t="shared" si="1"/>
        <v>4431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>
        <f>4350+81</f>
        <v>4431</v>
      </c>
      <c r="O78" s="67"/>
      <c r="P78" s="67"/>
      <c r="Q78" s="67"/>
      <c r="R78" s="67"/>
      <c r="S78" s="67"/>
      <c r="T78" s="67"/>
      <c r="U78" s="67"/>
      <c r="V78" s="67"/>
    </row>
    <row r="79" spans="1:22" ht="15.75">
      <c r="A79" s="75">
        <v>58</v>
      </c>
      <c r="B79" s="76" t="s">
        <v>35</v>
      </c>
      <c r="C79" s="67">
        <f t="shared" si="1"/>
        <v>1881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>
        <f>1790+91</f>
        <v>1881</v>
      </c>
      <c r="O79" s="67"/>
      <c r="P79" s="67"/>
      <c r="Q79" s="67"/>
      <c r="R79" s="67"/>
      <c r="S79" s="67"/>
      <c r="T79" s="67"/>
      <c r="U79" s="67"/>
      <c r="V79" s="67"/>
    </row>
    <row r="80" spans="1:22" ht="15.75">
      <c r="A80" s="75">
        <v>59</v>
      </c>
      <c r="B80" s="76" t="s">
        <v>331</v>
      </c>
      <c r="C80" s="67">
        <f t="shared" si="1"/>
        <v>1033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>
        <f>960+73</f>
        <v>1033</v>
      </c>
      <c r="O80" s="67"/>
      <c r="P80" s="67"/>
      <c r="Q80" s="67"/>
      <c r="R80" s="67"/>
      <c r="S80" s="67"/>
      <c r="T80" s="67"/>
      <c r="U80" s="67"/>
      <c r="V80" s="67"/>
    </row>
    <row r="81" spans="1:22" ht="15.75">
      <c r="A81" s="75">
        <v>60</v>
      </c>
      <c r="B81" s="76" t="s">
        <v>332</v>
      </c>
      <c r="C81" s="67">
        <f t="shared" si="1"/>
        <v>2136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>
        <f>2090+46</f>
        <v>2136</v>
      </c>
      <c r="O81" s="67"/>
      <c r="P81" s="67"/>
      <c r="Q81" s="67"/>
      <c r="R81" s="67"/>
      <c r="S81" s="67"/>
      <c r="T81" s="67"/>
      <c r="U81" s="67"/>
      <c r="V81" s="67"/>
    </row>
    <row r="82" spans="1:22" ht="15.75">
      <c r="A82" s="75">
        <v>61</v>
      </c>
      <c r="B82" s="76" t="s">
        <v>333</v>
      </c>
      <c r="C82" s="67">
        <f t="shared" si="1"/>
        <v>16705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>
        <f>16577+128</f>
        <v>16705</v>
      </c>
      <c r="O82" s="67"/>
      <c r="P82" s="67"/>
      <c r="Q82" s="67"/>
      <c r="R82" s="67"/>
      <c r="S82" s="67"/>
      <c r="T82" s="67"/>
      <c r="U82" s="67"/>
      <c r="V82" s="67"/>
    </row>
    <row r="83" spans="1:22" ht="15.75">
      <c r="A83" s="75"/>
      <c r="B83" s="76" t="s">
        <v>495</v>
      </c>
      <c r="C83" s="67">
        <f t="shared" si="1"/>
        <v>1174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>
        <f>1130+44</f>
        <v>1174</v>
      </c>
      <c r="O83" s="67"/>
      <c r="P83" s="67"/>
      <c r="Q83" s="67"/>
      <c r="R83" s="67"/>
      <c r="S83" s="67"/>
      <c r="T83" s="67"/>
      <c r="U83" s="67"/>
      <c r="V83" s="67"/>
    </row>
    <row r="84" spans="1:22" ht="15.75">
      <c r="A84" s="75">
        <v>62</v>
      </c>
      <c r="B84" s="76" t="s">
        <v>75</v>
      </c>
      <c r="C84" s="67">
        <f t="shared" si="1"/>
        <v>16525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>
        <f>16000+525</f>
        <v>16525</v>
      </c>
      <c r="P84" s="67"/>
      <c r="Q84" s="67"/>
      <c r="R84" s="67"/>
      <c r="S84" s="67"/>
      <c r="T84" s="67"/>
      <c r="U84" s="67"/>
      <c r="V84" s="67"/>
    </row>
    <row r="85" spans="1:22" ht="15.75">
      <c r="A85" s="75">
        <v>63</v>
      </c>
      <c r="B85" s="76" t="s">
        <v>334</v>
      </c>
      <c r="C85" s="67">
        <f t="shared" si="1"/>
        <v>3844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>
        <f>3116+728</f>
        <v>3844</v>
      </c>
      <c r="Q85" s="67"/>
      <c r="R85" s="67"/>
      <c r="S85" s="67"/>
      <c r="T85" s="67"/>
      <c r="U85" s="67"/>
      <c r="V85" s="67"/>
    </row>
    <row r="86" spans="1:22" ht="15.75">
      <c r="A86" s="75">
        <v>64</v>
      </c>
      <c r="B86" s="76" t="s">
        <v>335</v>
      </c>
      <c r="C86" s="67">
        <f t="shared" si="1"/>
        <v>558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>
        <f>510+48</f>
        <v>558</v>
      </c>
      <c r="Q86" s="67"/>
      <c r="R86" s="67"/>
      <c r="S86" s="67"/>
      <c r="T86" s="67"/>
      <c r="U86" s="67"/>
      <c r="V86" s="67"/>
    </row>
    <row r="87" spans="1:22" ht="15.75">
      <c r="A87" s="75">
        <v>65</v>
      </c>
      <c r="B87" s="76" t="s">
        <v>336</v>
      </c>
      <c r="C87" s="67">
        <f t="shared" si="1"/>
        <v>1696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>
        <f>1610+86</f>
        <v>1696</v>
      </c>
      <c r="Q87" s="67"/>
      <c r="R87" s="67"/>
      <c r="S87" s="67"/>
      <c r="T87" s="67"/>
      <c r="U87" s="67"/>
      <c r="V87" s="67"/>
    </row>
    <row r="88" spans="1:22" ht="15.75">
      <c r="A88" s="75">
        <v>66</v>
      </c>
      <c r="B88" s="76" t="s">
        <v>337</v>
      </c>
      <c r="C88" s="67">
        <f t="shared" si="1"/>
        <v>25005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>
        <v>25005</v>
      </c>
      <c r="Q88" s="67"/>
      <c r="R88" s="67"/>
      <c r="S88" s="67"/>
      <c r="T88" s="67"/>
      <c r="U88" s="67"/>
      <c r="V88" s="67"/>
    </row>
    <row r="89" spans="1:22" ht="15.75">
      <c r="A89" s="75">
        <v>67</v>
      </c>
      <c r="B89" s="76" t="s">
        <v>338</v>
      </c>
      <c r="C89" s="67">
        <f aca="true" t="shared" si="2" ref="C89:C154">SUM(D89:V89)</f>
        <v>7000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>
        <v>7000</v>
      </c>
      <c r="Q89" s="67"/>
      <c r="R89" s="67"/>
      <c r="S89" s="67"/>
      <c r="T89" s="67"/>
      <c r="U89" s="67"/>
      <c r="V89" s="67"/>
    </row>
    <row r="90" spans="1:22" ht="15.75">
      <c r="A90" s="75">
        <v>68</v>
      </c>
      <c r="B90" s="76" t="s">
        <v>339</v>
      </c>
      <c r="C90" s="67">
        <f t="shared" si="2"/>
        <v>140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>
        <v>140</v>
      </c>
      <c r="Q90" s="67"/>
      <c r="R90" s="67"/>
      <c r="S90" s="67"/>
      <c r="T90" s="67"/>
      <c r="U90" s="67"/>
      <c r="V90" s="67"/>
    </row>
    <row r="91" spans="1:22" ht="15.75">
      <c r="A91" s="75">
        <v>69</v>
      </c>
      <c r="B91" s="76" t="s">
        <v>496</v>
      </c>
      <c r="C91" s="67">
        <f t="shared" si="2"/>
        <v>300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>
        <v>300</v>
      </c>
      <c r="Q91" s="67"/>
      <c r="R91" s="67"/>
      <c r="S91" s="67"/>
      <c r="T91" s="67"/>
      <c r="U91" s="67"/>
      <c r="V91" s="67"/>
    </row>
    <row r="92" spans="1:22" ht="15.75">
      <c r="A92" s="75"/>
      <c r="B92" s="76" t="s">
        <v>497</v>
      </c>
      <c r="C92" s="67">
        <f t="shared" si="2"/>
        <v>650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>
        <v>650</v>
      </c>
      <c r="Q92" s="67"/>
      <c r="R92" s="67"/>
      <c r="S92" s="67"/>
      <c r="T92" s="67"/>
      <c r="U92" s="67"/>
      <c r="V92" s="67"/>
    </row>
    <row r="93" spans="1:22" ht="15.75">
      <c r="A93" s="75"/>
      <c r="B93" s="76" t="s">
        <v>498</v>
      </c>
      <c r="C93" s="67">
        <f t="shared" si="2"/>
        <v>240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>
        <v>240</v>
      </c>
      <c r="Q93" s="67"/>
      <c r="R93" s="67"/>
      <c r="S93" s="67"/>
      <c r="T93" s="67"/>
      <c r="U93" s="67"/>
      <c r="V93" s="67"/>
    </row>
    <row r="94" spans="1:22" ht="15.75">
      <c r="A94" s="75"/>
      <c r="B94" s="76" t="s">
        <v>499</v>
      </c>
      <c r="C94" s="67">
        <f t="shared" si="2"/>
        <v>250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>
        <v>250</v>
      </c>
      <c r="Q94" s="67"/>
      <c r="R94" s="67"/>
      <c r="S94" s="67"/>
      <c r="T94" s="67"/>
      <c r="U94" s="67"/>
      <c r="V94" s="67"/>
    </row>
    <row r="95" spans="1:22" ht="15.75">
      <c r="A95" s="75"/>
      <c r="B95" s="76" t="s">
        <v>500</v>
      </c>
      <c r="C95" s="67">
        <f t="shared" si="2"/>
        <v>3000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>
        <v>3000</v>
      </c>
      <c r="Q95" s="67"/>
      <c r="R95" s="67"/>
      <c r="S95" s="67"/>
      <c r="T95" s="67"/>
      <c r="U95" s="67"/>
      <c r="V95" s="67"/>
    </row>
    <row r="96" spans="1:22" ht="15.75">
      <c r="A96" s="75"/>
      <c r="B96" s="76" t="s">
        <v>501</v>
      </c>
      <c r="C96" s="67">
        <f t="shared" si="2"/>
        <v>5000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>
        <v>5000</v>
      </c>
      <c r="Q96" s="67"/>
      <c r="R96" s="67"/>
      <c r="S96" s="67"/>
      <c r="T96" s="67"/>
      <c r="U96" s="67"/>
      <c r="V96" s="67"/>
    </row>
    <row r="97" spans="1:22" ht="15.75">
      <c r="A97" s="75"/>
      <c r="B97" s="76" t="s">
        <v>502</v>
      </c>
      <c r="C97" s="67">
        <f t="shared" si="2"/>
        <v>3402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>
        <v>3402</v>
      </c>
      <c r="Q97" s="67"/>
      <c r="R97" s="67"/>
      <c r="S97" s="67"/>
      <c r="T97" s="67"/>
      <c r="U97" s="67"/>
      <c r="V97" s="67"/>
    </row>
    <row r="98" spans="1:22" ht="15.75">
      <c r="A98" s="75">
        <v>70</v>
      </c>
      <c r="B98" s="76" t="s">
        <v>503</v>
      </c>
      <c r="C98" s="67">
        <f t="shared" si="2"/>
        <v>4000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>
        <v>4000</v>
      </c>
      <c r="Q98" s="67"/>
      <c r="R98" s="67"/>
      <c r="S98" s="67"/>
      <c r="T98" s="67"/>
      <c r="U98" s="67"/>
      <c r="V98" s="67"/>
    </row>
    <row r="99" spans="1:22" ht="15.75">
      <c r="A99" s="75">
        <v>71</v>
      </c>
      <c r="B99" s="76" t="s">
        <v>504</v>
      </c>
      <c r="C99" s="67">
        <f t="shared" si="2"/>
        <v>722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>
        <v>722</v>
      </c>
      <c r="Q99" s="67"/>
      <c r="R99" s="67"/>
      <c r="S99" s="67"/>
      <c r="T99" s="67"/>
      <c r="U99" s="67"/>
      <c r="V99" s="67"/>
    </row>
    <row r="100" spans="1:22" ht="15.75">
      <c r="A100" s="75">
        <v>74</v>
      </c>
      <c r="B100" s="76" t="s">
        <v>47</v>
      </c>
      <c r="C100" s="67">
        <f t="shared" si="2"/>
        <v>2222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>
        <f>2120+102</f>
        <v>2222</v>
      </c>
      <c r="R100" s="67"/>
      <c r="S100" s="67"/>
      <c r="T100" s="67"/>
      <c r="U100" s="67"/>
      <c r="V100" s="67"/>
    </row>
    <row r="101" spans="1:22" ht="15.75">
      <c r="A101" s="75">
        <v>75</v>
      </c>
      <c r="B101" s="76" t="s">
        <v>340</v>
      </c>
      <c r="C101" s="67">
        <f t="shared" si="2"/>
        <v>8310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>
        <f>7300+1010</f>
        <v>8310</v>
      </c>
      <c r="R101" s="67"/>
      <c r="S101" s="67"/>
      <c r="T101" s="67"/>
      <c r="U101" s="67"/>
      <c r="V101" s="67"/>
    </row>
    <row r="102" spans="1:22" ht="15.75">
      <c r="A102" s="75">
        <v>76</v>
      </c>
      <c r="B102" s="76" t="s">
        <v>341</v>
      </c>
      <c r="C102" s="67">
        <f t="shared" si="2"/>
        <v>1442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>
        <f>1380+62</f>
        <v>1442</v>
      </c>
      <c r="R102" s="67"/>
      <c r="S102" s="67"/>
      <c r="T102" s="67"/>
      <c r="U102" s="67"/>
      <c r="V102" s="67"/>
    </row>
    <row r="103" spans="1:22" ht="15.75">
      <c r="A103" s="75">
        <v>77</v>
      </c>
      <c r="B103" s="76" t="s">
        <v>65</v>
      </c>
      <c r="C103" s="67">
        <f t="shared" si="2"/>
        <v>2894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>
        <f>2760+134</f>
        <v>2894</v>
      </c>
      <c r="R103" s="67"/>
      <c r="S103" s="67"/>
      <c r="T103" s="67"/>
      <c r="U103" s="67"/>
      <c r="V103" s="67"/>
    </row>
    <row r="104" spans="1:22" ht="15.75">
      <c r="A104" s="75">
        <v>78</v>
      </c>
      <c r="B104" s="76" t="s">
        <v>62</v>
      </c>
      <c r="C104" s="67">
        <f t="shared" si="2"/>
        <v>3883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>
        <f>3680+203</f>
        <v>3883</v>
      </c>
      <c r="R104" s="67"/>
      <c r="S104" s="67"/>
      <c r="T104" s="67"/>
      <c r="U104" s="67"/>
      <c r="V104" s="67"/>
    </row>
    <row r="105" spans="1:22" ht="15.75">
      <c r="A105" s="75">
        <v>79</v>
      </c>
      <c r="B105" s="76" t="s">
        <v>37</v>
      </c>
      <c r="C105" s="67">
        <f t="shared" si="2"/>
        <v>4468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>
        <f>4156+312</f>
        <v>4468</v>
      </c>
      <c r="R105" s="67"/>
      <c r="S105" s="67"/>
      <c r="T105" s="67"/>
      <c r="U105" s="67"/>
      <c r="V105" s="67"/>
    </row>
    <row r="106" spans="1:22" ht="15.75">
      <c r="A106" s="75">
        <v>80</v>
      </c>
      <c r="B106" s="76" t="s">
        <v>63</v>
      </c>
      <c r="C106" s="67">
        <f t="shared" si="2"/>
        <v>2215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>
        <f>2060+155</f>
        <v>2215</v>
      </c>
      <c r="R106" s="67"/>
      <c r="S106" s="67"/>
      <c r="T106" s="67"/>
      <c r="U106" s="67"/>
      <c r="V106" s="67"/>
    </row>
    <row r="107" spans="1:22" ht="15.75">
      <c r="A107" s="75">
        <v>81</v>
      </c>
      <c r="B107" s="76" t="s">
        <v>342</v>
      </c>
      <c r="C107" s="67">
        <f t="shared" si="2"/>
        <v>3996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>
        <f>3770+226</f>
        <v>3996</v>
      </c>
      <c r="R107" s="67"/>
      <c r="S107" s="67"/>
      <c r="T107" s="67"/>
      <c r="U107" s="67"/>
      <c r="V107" s="67"/>
    </row>
    <row r="108" spans="1:22" ht="15.75">
      <c r="A108" s="75">
        <v>82</v>
      </c>
      <c r="B108" s="76" t="s">
        <v>64</v>
      </c>
      <c r="C108" s="67">
        <f t="shared" si="2"/>
        <v>1979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>
        <f>1840+139</f>
        <v>1979</v>
      </c>
      <c r="R108" s="67"/>
      <c r="S108" s="67"/>
      <c r="T108" s="67"/>
      <c r="U108" s="67"/>
      <c r="V108" s="67"/>
    </row>
    <row r="109" spans="1:22" ht="15.75">
      <c r="A109" s="75">
        <v>83</v>
      </c>
      <c r="B109" s="76" t="s">
        <v>343</v>
      </c>
      <c r="C109" s="67">
        <f t="shared" si="2"/>
        <v>4350</v>
      </c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>
        <f>4020+330</f>
        <v>4350</v>
      </c>
      <c r="R109" s="67"/>
      <c r="S109" s="67"/>
      <c r="T109" s="67"/>
      <c r="U109" s="67"/>
      <c r="V109" s="67"/>
    </row>
    <row r="110" spans="1:22" ht="15.75">
      <c r="A110" s="75">
        <v>84</v>
      </c>
      <c r="B110" s="76" t="s">
        <v>84</v>
      </c>
      <c r="C110" s="67">
        <f t="shared" si="2"/>
        <v>11947</v>
      </c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>
        <f>11590+357</f>
        <v>11947</v>
      </c>
      <c r="R110" s="67"/>
      <c r="S110" s="67"/>
      <c r="T110" s="67"/>
      <c r="U110" s="67"/>
      <c r="V110" s="67"/>
    </row>
    <row r="111" spans="1:22" ht="15.75">
      <c r="A111" s="75">
        <v>85</v>
      </c>
      <c r="B111" s="76" t="s">
        <v>344</v>
      </c>
      <c r="C111" s="67">
        <f t="shared" si="2"/>
        <v>3340</v>
      </c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>
        <f>3002+338</f>
        <v>3340</v>
      </c>
      <c r="R111" s="67"/>
      <c r="S111" s="67"/>
      <c r="T111" s="67"/>
      <c r="U111" s="67"/>
      <c r="V111" s="67"/>
    </row>
    <row r="112" spans="1:22" ht="15.75">
      <c r="A112" s="75">
        <v>86</v>
      </c>
      <c r="B112" s="76" t="s">
        <v>79</v>
      </c>
      <c r="C112" s="67">
        <f t="shared" si="2"/>
        <v>4061</v>
      </c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>
        <f>3770+291</f>
        <v>4061</v>
      </c>
      <c r="R112" s="67"/>
      <c r="S112" s="67"/>
      <c r="T112" s="67"/>
      <c r="U112" s="67"/>
      <c r="V112" s="67"/>
    </row>
    <row r="113" spans="1:22" ht="15.75">
      <c r="A113" s="75">
        <v>87</v>
      </c>
      <c r="B113" s="76" t="s">
        <v>101</v>
      </c>
      <c r="C113" s="67">
        <f t="shared" si="2"/>
        <v>3316</v>
      </c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>
        <f>3110+206</f>
        <v>3316</v>
      </c>
      <c r="R113" s="67"/>
      <c r="S113" s="67"/>
      <c r="T113" s="67"/>
      <c r="U113" s="67"/>
      <c r="V113" s="67"/>
    </row>
    <row r="114" spans="1:22" ht="15.75">
      <c r="A114" s="75">
        <v>88</v>
      </c>
      <c r="B114" s="76" t="s">
        <v>38</v>
      </c>
      <c r="C114" s="67">
        <f t="shared" si="2"/>
        <v>3814</v>
      </c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>
        <f>3690+124</f>
        <v>3814</v>
      </c>
      <c r="R114" s="67"/>
      <c r="S114" s="67"/>
      <c r="T114" s="67"/>
      <c r="U114" s="67"/>
      <c r="V114" s="67"/>
    </row>
    <row r="115" spans="1:22" ht="15.75">
      <c r="A115" s="75">
        <v>89</v>
      </c>
      <c r="B115" s="76" t="s">
        <v>95</v>
      </c>
      <c r="C115" s="67">
        <f t="shared" si="2"/>
        <v>2445</v>
      </c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>
        <f>2300+145</f>
        <v>2445</v>
      </c>
      <c r="R115" s="67"/>
      <c r="S115" s="67"/>
      <c r="T115" s="67"/>
      <c r="U115" s="67"/>
      <c r="V115" s="67"/>
    </row>
    <row r="116" spans="1:22" ht="15.75">
      <c r="A116" s="75">
        <v>90</v>
      </c>
      <c r="B116" s="76" t="s">
        <v>345</v>
      </c>
      <c r="C116" s="67">
        <f t="shared" si="2"/>
        <v>4073</v>
      </c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>
        <f>3900+173</f>
        <v>4073</v>
      </c>
      <c r="R116" s="67"/>
      <c r="S116" s="67"/>
      <c r="T116" s="67"/>
      <c r="U116" s="67"/>
      <c r="V116" s="67"/>
    </row>
    <row r="117" spans="1:22" ht="15.75">
      <c r="A117" s="75">
        <v>91</v>
      </c>
      <c r="B117" s="76" t="s">
        <v>346</v>
      </c>
      <c r="C117" s="67">
        <f t="shared" si="2"/>
        <v>3350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>
        <f>3190+160</f>
        <v>3350</v>
      </c>
      <c r="R117" s="67"/>
      <c r="S117" s="67"/>
      <c r="T117" s="67"/>
      <c r="U117" s="67"/>
      <c r="V117" s="67"/>
    </row>
    <row r="118" spans="1:22" ht="15.75">
      <c r="A118" s="75">
        <v>92</v>
      </c>
      <c r="B118" s="76" t="s">
        <v>347</v>
      </c>
      <c r="C118" s="67">
        <f t="shared" si="2"/>
        <v>3592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>
        <f>3360+232</f>
        <v>3592</v>
      </c>
      <c r="R118" s="67"/>
      <c r="S118" s="67"/>
      <c r="T118" s="67"/>
      <c r="U118" s="67"/>
      <c r="V118" s="67"/>
    </row>
    <row r="119" spans="1:22" ht="15.75">
      <c r="A119" s="75">
        <v>93</v>
      </c>
      <c r="B119" s="76" t="s">
        <v>348</v>
      </c>
      <c r="C119" s="67">
        <f t="shared" si="2"/>
        <v>7977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>
        <f>7220+757</f>
        <v>7977</v>
      </c>
      <c r="R119" s="67"/>
      <c r="S119" s="67"/>
      <c r="T119" s="67"/>
      <c r="U119" s="67"/>
      <c r="V119" s="67"/>
    </row>
    <row r="120" spans="1:22" ht="15.75">
      <c r="A120" s="75">
        <v>94</v>
      </c>
      <c r="B120" s="76" t="s">
        <v>97</v>
      </c>
      <c r="C120" s="67">
        <f t="shared" si="2"/>
        <v>15222</v>
      </c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>
        <f>14800+422</f>
        <v>15222</v>
      </c>
      <c r="R120" s="67"/>
      <c r="S120" s="67"/>
      <c r="T120" s="67"/>
      <c r="U120" s="67"/>
      <c r="V120" s="67"/>
    </row>
    <row r="121" spans="1:22" ht="15.75">
      <c r="A121" s="75">
        <v>95</v>
      </c>
      <c r="B121" s="76" t="s">
        <v>349</v>
      </c>
      <c r="C121" s="67">
        <f t="shared" si="2"/>
        <v>1820</v>
      </c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>
        <f>1770+50</f>
        <v>1820</v>
      </c>
      <c r="R121" s="67"/>
      <c r="S121" s="67"/>
      <c r="T121" s="67"/>
      <c r="U121" s="67"/>
      <c r="V121" s="67"/>
    </row>
    <row r="122" spans="1:22" ht="15.75">
      <c r="A122" s="75">
        <v>96</v>
      </c>
      <c r="B122" s="76" t="s">
        <v>350</v>
      </c>
      <c r="C122" s="67">
        <f t="shared" si="2"/>
        <v>4519</v>
      </c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>
        <f>4350+169</f>
        <v>4519</v>
      </c>
      <c r="R122" s="67"/>
      <c r="S122" s="67"/>
      <c r="T122" s="67"/>
      <c r="U122" s="67"/>
      <c r="V122" s="67"/>
    </row>
    <row r="123" spans="1:22" ht="15.75">
      <c r="A123" s="75">
        <v>97</v>
      </c>
      <c r="B123" s="76" t="s">
        <v>19</v>
      </c>
      <c r="C123" s="67">
        <f t="shared" si="2"/>
        <v>2155</v>
      </c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>
        <f>2080+75</f>
        <v>2155</v>
      </c>
      <c r="R123" s="67"/>
      <c r="S123" s="67"/>
      <c r="T123" s="67"/>
      <c r="U123" s="67"/>
      <c r="V123" s="67"/>
    </row>
    <row r="124" spans="1:22" ht="15.75">
      <c r="A124" s="75">
        <v>98</v>
      </c>
      <c r="B124" s="76" t="s">
        <v>351</v>
      </c>
      <c r="C124" s="67">
        <f t="shared" si="2"/>
        <v>600</v>
      </c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>
        <v>600</v>
      </c>
      <c r="R124" s="67"/>
      <c r="S124" s="67"/>
      <c r="T124" s="67"/>
      <c r="U124" s="67"/>
      <c r="V124" s="67"/>
    </row>
    <row r="125" spans="1:22" ht="15.75">
      <c r="A125" s="75"/>
      <c r="B125" s="76" t="s">
        <v>360</v>
      </c>
      <c r="C125" s="67">
        <f t="shared" si="2"/>
        <v>64882</v>
      </c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>
        <f>60041+4841</f>
        <v>64882</v>
      </c>
      <c r="S125" s="67"/>
      <c r="T125" s="67"/>
      <c r="U125" s="67"/>
      <c r="V125" s="67"/>
    </row>
    <row r="126" spans="1:22" ht="15.75">
      <c r="A126" s="75">
        <v>99</v>
      </c>
      <c r="B126" s="76" t="s">
        <v>87</v>
      </c>
      <c r="C126" s="67">
        <f t="shared" si="2"/>
        <v>1631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>
        <f>1540+91</f>
        <v>1631</v>
      </c>
      <c r="T126" s="67"/>
      <c r="U126" s="67"/>
      <c r="V126" s="67"/>
    </row>
    <row r="127" spans="1:22" ht="15.75">
      <c r="A127" s="75">
        <v>100</v>
      </c>
      <c r="B127" s="76" t="s">
        <v>96</v>
      </c>
      <c r="C127" s="67">
        <f t="shared" si="2"/>
        <v>2047</v>
      </c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>
        <f>1940+107</f>
        <v>2047</v>
      </c>
      <c r="T127" s="67"/>
      <c r="U127" s="67"/>
      <c r="V127" s="67"/>
    </row>
    <row r="128" spans="1:22" ht="15.75">
      <c r="A128" s="75">
        <v>101</v>
      </c>
      <c r="B128" s="76" t="s">
        <v>353</v>
      </c>
      <c r="C128" s="67">
        <f t="shared" si="2"/>
        <v>2125</v>
      </c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>
        <f>2020+105</f>
        <v>2125</v>
      </c>
      <c r="T128" s="67"/>
      <c r="U128" s="67"/>
      <c r="V128" s="67"/>
    </row>
    <row r="129" spans="1:22" ht="15.75">
      <c r="A129" s="75">
        <v>102</v>
      </c>
      <c r="B129" s="76" t="s">
        <v>67</v>
      </c>
      <c r="C129" s="67">
        <f t="shared" si="2"/>
        <v>444</v>
      </c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>
        <f>420+24</f>
        <v>444</v>
      </c>
      <c r="T129" s="67"/>
      <c r="U129" s="67"/>
      <c r="V129" s="67"/>
    </row>
    <row r="130" spans="1:22" ht="15.75">
      <c r="A130" s="75">
        <v>103</v>
      </c>
      <c r="B130" s="76" t="s">
        <v>354</v>
      </c>
      <c r="C130" s="67">
        <f t="shared" si="2"/>
        <v>2501</v>
      </c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>
        <f>2373+128</f>
        <v>2501</v>
      </c>
      <c r="T130" s="67"/>
      <c r="U130" s="67"/>
      <c r="V130" s="67"/>
    </row>
    <row r="131" spans="1:22" ht="15.75">
      <c r="A131" s="75">
        <v>104</v>
      </c>
      <c r="B131" s="76" t="s">
        <v>92</v>
      </c>
      <c r="C131" s="67">
        <f t="shared" si="2"/>
        <v>5402</v>
      </c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>
        <f>5260+142</f>
        <v>5402</v>
      </c>
      <c r="T131" s="67"/>
      <c r="U131" s="67"/>
      <c r="V131" s="67"/>
    </row>
    <row r="132" spans="1:22" ht="15.75">
      <c r="A132" s="75">
        <v>105</v>
      </c>
      <c r="B132" s="76" t="s">
        <v>355</v>
      </c>
      <c r="C132" s="67">
        <f t="shared" si="2"/>
        <v>3077</v>
      </c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>
        <f>3020+57</f>
        <v>3077</v>
      </c>
      <c r="T132" s="67"/>
      <c r="U132" s="67"/>
      <c r="V132" s="67"/>
    </row>
    <row r="133" spans="1:22" ht="15.75">
      <c r="A133" s="75">
        <v>106</v>
      </c>
      <c r="B133" s="76" t="s">
        <v>505</v>
      </c>
      <c r="C133" s="67">
        <f t="shared" si="2"/>
        <v>3832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>
        <f>3780+52</f>
        <v>3832</v>
      </c>
      <c r="T133" s="67"/>
      <c r="U133" s="67"/>
      <c r="V133" s="67"/>
    </row>
    <row r="134" spans="1:22" ht="15.75">
      <c r="A134" s="75">
        <v>107</v>
      </c>
      <c r="B134" s="76" t="s">
        <v>26</v>
      </c>
      <c r="C134" s="67">
        <f t="shared" si="2"/>
        <v>2087</v>
      </c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>
        <f>2020+67</f>
        <v>2087</v>
      </c>
      <c r="U134" s="67"/>
      <c r="V134" s="67"/>
    </row>
    <row r="135" spans="1:22" ht="15.75">
      <c r="A135" s="75">
        <v>108</v>
      </c>
      <c r="B135" s="77" t="s">
        <v>70</v>
      </c>
      <c r="C135" s="67">
        <f t="shared" si="2"/>
        <v>414</v>
      </c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67"/>
      <c r="R135" s="78"/>
      <c r="S135" s="78"/>
      <c r="T135" s="78">
        <f>390+24</f>
        <v>414</v>
      </c>
      <c r="U135" s="78"/>
      <c r="V135" s="78"/>
    </row>
    <row r="136" spans="1:22" ht="15.75">
      <c r="A136" s="75">
        <v>109</v>
      </c>
      <c r="B136" s="76" t="s">
        <v>69</v>
      </c>
      <c r="C136" s="67">
        <f t="shared" si="2"/>
        <v>315</v>
      </c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>
        <f>290+25</f>
        <v>315</v>
      </c>
      <c r="U136" s="67"/>
      <c r="V136" s="78"/>
    </row>
    <row r="137" spans="1:22" ht="15.75">
      <c r="A137" s="75">
        <v>110</v>
      </c>
      <c r="B137" s="76" t="s">
        <v>162</v>
      </c>
      <c r="C137" s="67">
        <f t="shared" si="2"/>
        <v>400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>
        <v>400</v>
      </c>
      <c r="U137" s="67"/>
      <c r="V137" s="78"/>
    </row>
    <row r="138" spans="1:22" ht="15.75">
      <c r="A138" s="75">
        <v>111</v>
      </c>
      <c r="B138" s="76" t="s">
        <v>52</v>
      </c>
      <c r="C138" s="67">
        <f t="shared" si="2"/>
        <v>1175</v>
      </c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>
        <f>1130+45</f>
        <v>1175</v>
      </c>
      <c r="U138" s="67"/>
      <c r="V138" s="78"/>
    </row>
    <row r="139" spans="1:22" ht="15.75">
      <c r="A139" s="75">
        <v>112</v>
      </c>
      <c r="B139" s="79" t="s">
        <v>76</v>
      </c>
      <c r="C139" s="67">
        <f t="shared" si="2"/>
        <v>200</v>
      </c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>
        <f>200</f>
        <v>200</v>
      </c>
      <c r="U139" s="67"/>
      <c r="V139" s="78"/>
    </row>
    <row r="140" spans="1:22" ht="15.75">
      <c r="A140" s="75">
        <v>113</v>
      </c>
      <c r="B140" s="79" t="s">
        <v>163</v>
      </c>
      <c r="C140" s="67">
        <f t="shared" si="2"/>
        <v>200</v>
      </c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>
        <v>200</v>
      </c>
      <c r="U140" s="67"/>
      <c r="V140" s="78"/>
    </row>
    <row r="141" spans="1:22" ht="15.75">
      <c r="A141" s="75">
        <v>114</v>
      </c>
      <c r="B141" s="79" t="s">
        <v>39</v>
      </c>
      <c r="C141" s="67">
        <f t="shared" si="2"/>
        <v>909</v>
      </c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>
        <f>895+14</f>
        <v>909</v>
      </c>
      <c r="U141" s="67"/>
      <c r="V141" s="78"/>
    </row>
    <row r="142" spans="1:22" ht="15.75">
      <c r="A142" s="75">
        <v>115</v>
      </c>
      <c r="B142" s="79" t="s">
        <v>48</v>
      </c>
      <c r="C142" s="67">
        <f t="shared" si="2"/>
        <v>367</v>
      </c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>
        <f>350+17</f>
        <v>367</v>
      </c>
      <c r="U142" s="67"/>
      <c r="V142" s="78"/>
    </row>
    <row r="143" spans="1:22" ht="15.75">
      <c r="A143" s="75">
        <v>116</v>
      </c>
      <c r="B143" s="79" t="s">
        <v>53</v>
      </c>
      <c r="C143" s="67">
        <f t="shared" si="2"/>
        <v>250</v>
      </c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>
        <v>250</v>
      </c>
      <c r="U143" s="67"/>
      <c r="V143" s="78"/>
    </row>
    <row r="144" spans="1:22" ht="15.75">
      <c r="A144" s="75">
        <v>117</v>
      </c>
      <c r="B144" s="79" t="s">
        <v>25</v>
      </c>
      <c r="C144" s="67">
        <f t="shared" si="2"/>
        <v>300</v>
      </c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>
        <v>300</v>
      </c>
      <c r="U144" s="67"/>
      <c r="V144" s="78"/>
    </row>
    <row r="145" spans="1:22" ht="15.75">
      <c r="A145" s="75">
        <v>118</v>
      </c>
      <c r="B145" s="76" t="s">
        <v>164</v>
      </c>
      <c r="C145" s="67">
        <f t="shared" si="2"/>
        <v>1272</v>
      </c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>
        <f>1215+57</f>
        <v>1272</v>
      </c>
      <c r="U145" s="67"/>
      <c r="V145" s="78"/>
    </row>
    <row r="146" spans="1:22" ht="15.75">
      <c r="A146" s="75">
        <v>119</v>
      </c>
      <c r="B146" s="77" t="s">
        <v>31</v>
      </c>
      <c r="C146" s="67">
        <f t="shared" si="2"/>
        <v>470</v>
      </c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>
        <f>450+20</f>
        <v>470</v>
      </c>
      <c r="U146" s="78"/>
      <c r="V146" s="78"/>
    </row>
    <row r="147" spans="1:22" ht="15.75">
      <c r="A147" s="75">
        <v>120</v>
      </c>
      <c r="B147" s="77" t="s">
        <v>358</v>
      </c>
      <c r="C147" s="67">
        <f t="shared" si="2"/>
        <v>694</v>
      </c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>
        <f>670+24</f>
        <v>694</v>
      </c>
      <c r="U147" s="78"/>
      <c r="V147" s="78"/>
    </row>
    <row r="148" spans="1:22" ht="15.75">
      <c r="A148" s="75">
        <v>121</v>
      </c>
      <c r="B148" s="77" t="s">
        <v>165</v>
      </c>
      <c r="C148" s="67">
        <f t="shared" si="2"/>
        <v>200</v>
      </c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>
        <v>200</v>
      </c>
      <c r="U148" s="78"/>
      <c r="V148" s="78"/>
    </row>
    <row r="149" spans="1:22" ht="15.75">
      <c r="A149" s="75"/>
      <c r="B149" s="77" t="s">
        <v>506</v>
      </c>
      <c r="C149" s="67">
        <f t="shared" si="2"/>
        <v>200</v>
      </c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>
        <v>200</v>
      </c>
      <c r="U149" s="78"/>
      <c r="V149" s="78"/>
    </row>
    <row r="150" spans="1:22" ht="15.75">
      <c r="A150" s="75">
        <v>122</v>
      </c>
      <c r="B150" s="77" t="s">
        <v>357</v>
      </c>
      <c r="C150" s="67">
        <f t="shared" si="2"/>
        <v>200</v>
      </c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>
        <v>200</v>
      </c>
      <c r="U150" s="78"/>
      <c r="V150" s="78"/>
    </row>
    <row r="151" spans="1:22" ht="15.75">
      <c r="A151" s="75"/>
      <c r="B151" s="77" t="s">
        <v>507</v>
      </c>
      <c r="C151" s="67">
        <f t="shared" si="2"/>
        <v>200</v>
      </c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>
        <v>200</v>
      </c>
      <c r="U151" s="78"/>
      <c r="V151" s="78"/>
    </row>
    <row r="152" spans="1:22" ht="15.75">
      <c r="A152" s="75">
        <v>123</v>
      </c>
      <c r="B152" s="77" t="s">
        <v>359</v>
      </c>
      <c r="C152" s="67">
        <f t="shared" si="2"/>
        <v>19243</v>
      </c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>
        <f>17600+1643</f>
        <v>19243</v>
      </c>
      <c r="V152" s="78"/>
    </row>
    <row r="153" spans="1:22" ht="15.75">
      <c r="A153" s="75">
        <v>124</v>
      </c>
      <c r="B153" s="77" t="s">
        <v>54</v>
      </c>
      <c r="C153" s="67">
        <f t="shared" si="2"/>
        <v>7000</v>
      </c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>
        <v>7000</v>
      </c>
      <c r="V153" s="78"/>
    </row>
    <row r="154" spans="1:22" ht="15.75">
      <c r="A154" s="75">
        <v>125</v>
      </c>
      <c r="B154" s="77" t="s">
        <v>68</v>
      </c>
      <c r="C154" s="67">
        <f t="shared" si="2"/>
        <v>7000</v>
      </c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>
        <v>7000</v>
      </c>
      <c r="V154" s="78"/>
    </row>
    <row r="155" spans="1:22" ht="15.75">
      <c r="A155" s="113">
        <v>126</v>
      </c>
      <c r="B155" s="114" t="s">
        <v>49</v>
      </c>
      <c r="C155" s="68">
        <f>V155</f>
        <v>12000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>
        <v>12000</v>
      </c>
    </row>
  </sheetData>
  <mergeCells count="12">
    <mergeCell ref="Q7:V7"/>
    <mergeCell ref="A8:A9"/>
    <mergeCell ref="C8:V8"/>
    <mergeCell ref="C9:C10"/>
    <mergeCell ref="D9:V9"/>
    <mergeCell ref="B8:B10"/>
    <mergeCell ref="P1:V1"/>
    <mergeCell ref="A3:V3"/>
    <mergeCell ref="A5:V5"/>
    <mergeCell ref="A6:B6"/>
    <mergeCell ref="A1:B1"/>
    <mergeCell ref="A4:V4"/>
  </mergeCells>
  <printOptions/>
  <pageMargins left="1.11" right="0.16" top="0.45" bottom="0.45" header="0.4" footer="0.33"/>
  <pageSetup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3"/>
  <sheetViews>
    <sheetView tabSelected="1" workbookViewId="0" topLeftCell="A1">
      <selection activeCell="A3" sqref="A3:V3"/>
    </sheetView>
  </sheetViews>
  <sheetFormatPr defaultColWidth="9.140625" defaultRowHeight="12.75"/>
  <cols>
    <col min="1" max="1" width="4.57421875" style="6" customWidth="1"/>
    <col min="2" max="2" width="7.421875" style="6" bestFit="1" customWidth="1"/>
    <col min="3" max="3" width="38.140625" style="6" bestFit="1" customWidth="1"/>
    <col min="4" max="4" width="15.140625" style="166" bestFit="1" customWidth="1"/>
    <col min="5" max="6" width="13.8515625" style="167" bestFit="1" customWidth="1"/>
    <col min="7" max="7" width="13.28125" style="167" bestFit="1" customWidth="1"/>
    <col min="8" max="8" width="13.8515625" style="167" bestFit="1" customWidth="1"/>
    <col min="9" max="9" width="15.140625" style="167" bestFit="1" customWidth="1"/>
    <col min="10" max="10" width="12.57421875" style="6" bestFit="1" customWidth="1"/>
    <col min="11" max="11" width="16.00390625" style="137" bestFit="1" customWidth="1"/>
    <col min="12" max="16384" width="9.140625" style="6" customWidth="1"/>
  </cols>
  <sheetData>
    <row r="1" spans="1:9" ht="15.75">
      <c r="A1" s="228" t="s">
        <v>453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80"/>
      <c r="B2" s="80"/>
      <c r="C2" s="80"/>
      <c r="D2" s="80"/>
      <c r="E2" s="80"/>
      <c r="F2" s="80"/>
      <c r="G2" s="80"/>
      <c r="H2" s="80"/>
      <c r="I2" s="80"/>
    </row>
    <row r="3" spans="1:22" ht="18.75">
      <c r="A3" s="208" t="s">
        <v>512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9" ht="15.75">
      <c r="A4" s="80"/>
      <c r="B4" s="80"/>
      <c r="C4" s="81"/>
      <c r="D4" s="142"/>
      <c r="E4" s="143"/>
      <c r="F4" s="144"/>
      <c r="G4" s="145"/>
      <c r="H4" s="146"/>
      <c r="I4" s="147"/>
    </row>
    <row r="5" spans="1:9" ht="15.75">
      <c r="A5" s="82"/>
      <c r="B5" s="82"/>
      <c r="C5" s="83"/>
      <c r="D5" s="148"/>
      <c r="E5" s="143"/>
      <c r="F5" s="144"/>
      <c r="G5" s="245" t="s">
        <v>105</v>
      </c>
      <c r="H5" s="245"/>
      <c r="I5" s="245"/>
    </row>
    <row r="6" spans="1:9" ht="18" customHeight="1">
      <c r="A6" s="229" t="s">
        <v>166</v>
      </c>
      <c r="B6" s="115"/>
      <c r="C6" s="229" t="s">
        <v>103</v>
      </c>
      <c r="D6" s="237" t="s">
        <v>244</v>
      </c>
      <c r="E6" s="238"/>
      <c r="F6" s="238"/>
      <c r="G6" s="235" t="s">
        <v>469</v>
      </c>
      <c r="H6" s="235" t="s">
        <v>180</v>
      </c>
      <c r="I6" s="232" t="s">
        <v>470</v>
      </c>
    </row>
    <row r="7" spans="1:9" ht="18.75" customHeight="1">
      <c r="A7" s="230"/>
      <c r="B7" s="116"/>
      <c r="C7" s="230"/>
      <c r="D7" s="243" t="s">
        <v>81</v>
      </c>
      <c r="E7" s="235" t="s">
        <v>468</v>
      </c>
      <c r="F7" s="235" t="s">
        <v>86</v>
      </c>
      <c r="G7" s="239"/>
      <c r="H7" s="241"/>
      <c r="I7" s="233"/>
    </row>
    <row r="8" spans="1:9" ht="23.25" customHeight="1">
      <c r="A8" s="231"/>
      <c r="B8" s="117"/>
      <c r="C8" s="231"/>
      <c r="D8" s="244"/>
      <c r="E8" s="240"/>
      <c r="F8" s="240"/>
      <c r="G8" s="240"/>
      <c r="H8" s="242"/>
      <c r="I8" s="234"/>
    </row>
    <row r="9" spans="1:9" ht="15.75">
      <c r="A9" s="85">
        <v>1</v>
      </c>
      <c r="B9" s="235" t="s">
        <v>368</v>
      </c>
      <c r="C9" s="85">
        <v>2</v>
      </c>
      <c r="D9" s="149">
        <v>3</v>
      </c>
      <c r="E9" s="150">
        <v>4</v>
      </c>
      <c r="F9" s="150">
        <v>5</v>
      </c>
      <c r="G9" s="150">
        <v>6</v>
      </c>
      <c r="H9" s="150">
        <v>9</v>
      </c>
      <c r="I9" s="150">
        <v>10</v>
      </c>
    </row>
    <row r="10" spans="1:9" ht="33.75" customHeight="1">
      <c r="A10" s="151" t="s">
        <v>179</v>
      </c>
      <c r="B10" s="236"/>
      <c r="C10" s="152" t="s">
        <v>93</v>
      </c>
      <c r="D10" s="153">
        <f aca="true" t="shared" si="0" ref="D10:I10">D11+D12+D15+D29+D32+D37+D40+D44+D45+D49+D53+D61+D76+D77+D85+D90+D93+D94+D95+D96+D97+D98+D99+D100+D101+D102+D106+D107+D110+D111+D112+D131+D132</f>
        <v>2915994151522</v>
      </c>
      <c r="E10" s="153">
        <f t="shared" si="0"/>
        <v>229509624056</v>
      </c>
      <c r="F10" s="153">
        <f t="shared" si="0"/>
        <v>560294122611</v>
      </c>
      <c r="G10" s="153">
        <f t="shared" si="0"/>
        <v>55186478424</v>
      </c>
      <c r="H10" s="153">
        <f t="shared" si="0"/>
        <v>488255172084</v>
      </c>
      <c r="I10" s="153">
        <f t="shared" si="0"/>
        <v>1582748754347</v>
      </c>
    </row>
    <row r="11" spans="1:10" ht="15.75">
      <c r="A11" s="129">
        <v>1</v>
      </c>
      <c r="B11" s="129">
        <v>402</v>
      </c>
      <c r="C11" s="130" t="s">
        <v>94</v>
      </c>
      <c r="D11" s="154">
        <f>SUM(E11:H11)</f>
        <v>9473321520</v>
      </c>
      <c r="E11" s="181">
        <v>7661000000</v>
      </c>
      <c r="F11" s="181"/>
      <c r="G11" s="181"/>
      <c r="H11" s="181">
        <v>1812321520</v>
      </c>
      <c r="I11" s="181"/>
      <c r="J11" s="84"/>
    </row>
    <row r="12" spans="1:10" ht="15.75">
      <c r="A12" s="86">
        <v>2</v>
      </c>
      <c r="B12" s="86">
        <v>405</v>
      </c>
      <c r="C12" s="126" t="s">
        <v>97</v>
      </c>
      <c r="D12" s="155">
        <f aca="true" t="shared" si="1" ref="D12:I12">SUM(D13:D14)</f>
        <v>49674605149</v>
      </c>
      <c r="E12" s="180">
        <f t="shared" si="1"/>
        <v>18738221721</v>
      </c>
      <c r="F12" s="180">
        <f t="shared" si="1"/>
        <v>2813336929</v>
      </c>
      <c r="G12" s="180">
        <f t="shared" si="1"/>
        <v>0</v>
      </c>
      <c r="H12" s="180">
        <f t="shared" si="1"/>
        <v>28123046499</v>
      </c>
      <c r="I12" s="180">
        <f t="shared" si="1"/>
        <v>0</v>
      </c>
      <c r="J12" s="84"/>
    </row>
    <row r="13" spans="1:10" ht="15.75">
      <c r="A13" s="86"/>
      <c r="B13" s="86"/>
      <c r="C13" s="124" t="s">
        <v>369</v>
      </c>
      <c r="D13" s="157">
        <f>SUM(E13:I13)</f>
        <v>46861268220</v>
      </c>
      <c r="E13" s="156">
        <v>18738221721</v>
      </c>
      <c r="F13" s="156"/>
      <c r="G13" s="156"/>
      <c r="H13" s="158">
        <v>28123046499</v>
      </c>
      <c r="I13" s="156"/>
      <c r="J13" s="84"/>
    </row>
    <row r="14" spans="1:10" ht="31.5">
      <c r="A14" s="86"/>
      <c r="B14" s="86"/>
      <c r="C14" s="187" t="s">
        <v>467</v>
      </c>
      <c r="D14" s="157">
        <f>SUM(E14:H14)</f>
        <v>2813336929</v>
      </c>
      <c r="E14" s="156"/>
      <c r="F14" s="156">
        <v>2813336929</v>
      </c>
      <c r="G14" s="156"/>
      <c r="H14" s="156"/>
      <c r="I14" s="156"/>
      <c r="J14" s="84"/>
    </row>
    <row r="15" spans="1:10" ht="15.75">
      <c r="A15" s="86">
        <v>3</v>
      </c>
      <c r="B15" s="86">
        <v>412</v>
      </c>
      <c r="C15" s="125" t="s">
        <v>98</v>
      </c>
      <c r="D15" s="155">
        <f aca="true" t="shared" si="2" ref="D15:I15">SUM(D16:D28)</f>
        <v>135872091460</v>
      </c>
      <c r="E15" s="180">
        <f t="shared" si="2"/>
        <v>3332456440</v>
      </c>
      <c r="F15" s="180">
        <f t="shared" si="2"/>
        <v>58223967431</v>
      </c>
      <c r="G15" s="180">
        <f t="shared" si="2"/>
        <v>2258623200</v>
      </c>
      <c r="H15" s="180">
        <f t="shared" si="2"/>
        <v>72057044389</v>
      </c>
      <c r="I15" s="180">
        <f t="shared" si="2"/>
        <v>0</v>
      </c>
      <c r="J15" s="84"/>
    </row>
    <row r="16" spans="1:10" ht="15.75">
      <c r="A16" s="86"/>
      <c r="B16" s="86"/>
      <c r="C16" s="87" t="s">
        <v>374</v>
      </c>
      <c r="D16" s="157">
        <f>SUM(E16:H16)</f>
        <v>901040373</v>
      </c>
      <c r="E16" s="156"/>
      <c r="F16" s="156">
        <v>901040373</v>
      </c>
      <c r="G16" s="156"/>
      <c r="H16" s="156"/>
      <c r="I16" s="156"/>
      <c r="J16" s="84"/>
    </row>
    <row r="17" spans="1:10" ht="15.75">
      <c r="A17" s="86"/>
      <c r="B17" s="86"/>
      <c r="C17" s="87" t="s">
        <v>375</v>
      </c>
      <c r="D17" s="157">
        <f aca="true" t="shared" si="3" ref="D17:D31">SUM(E17:H17)</f>
        <v>1187837318</v>
      </c>
      <c r="E17" s="156"/>
      <c r="F17" s="156">
        <v>1187837318</v>
      </c>
      <c r="G17" s="156"/>
      <c r="H17" s="156"/>
      <c r="I17" s="156"/>
      <c r="J17" s="84"/>
    </row>
    <row r="18" spans="1:10" ht="15.75">
      <c r="A18" s="86"/>
      <c r="B18" s="86"/>
      <c r="C18" s="87" t="s">
        <v>376</v>
      </c>
      <c r="D18" s="157">
        <f t="shared" si="3"/>
        <v>3348256597</v>
      </c>
      <c r="E18" s="156"/>
      <c r="F18" s="156">
        <v>3348256597</v>
      </c>
      <c r="G18" s="156"/>
      <c r="H18" s="156"/>
      <c r="I18" s="156"/>
      <c r="J18" s="84"/>
    </row>
    <row r="19" spans="1:10" ht="15.75">
      <c r="A19" s="86"/>
      <c r="B19" s="86"/>
      <c r="C19" s="87" t="s">
        <v>377</v>
      </c>
      <c r="D19" s="157">
        <f t="shared" si="3"/>
        <v>4759739628</v>
      </c>
      <c r="E19" s="156"/>
      <c r="F19" s="156">
        <v>4759739628</v>
      </c>
      <c r="G19" s="156"/>
      <c r="H19" s="156"/>
      <c r="I19" s="156"/>
      <c r="J19" s="84"/>
    </row>
    <row r="20" spans="1:10" ht="15.75">
      <c r="A20" s="86"/>
      <c r="B20" s="86"/>
      <c r="C20" s="87" t="s">
        <v>378</v>
      </c>
      <c r="D20" s="157">
        <f t="shared" si="3"/>
        <v>9653977430</v>
      </c>
      <c r="E20" s="160"/>
      <c r="F20" s="160">
        <v>9653977430</v>
      </c>
      <c r="G20" s="156"/>
      <c r="H20" s="156"/>
      <c r="I20" s="156"/>
      <c r="J20" s="84"/>
    </row>
    <row r="21" spans="1:10" ht="15.75">
      <c r="A21" s="86"/>
      <c r="B21" s="86"/>
      <c r="C21" s="88" t="s">
        <v>379</v>
      </c>
      <c r="D21" s="157">
        <f t="shared" si="3"/>
        <v>5863140232</v>
      </c>
      <c r="E21" s="156"/>
      <c r="F21" s="156">
        <v>5863140232</v>
      </c>
      <c r="G21" s="156"/>
      <c r="H21" s="156"/>
      <c r="I21" s="156"/>
      <c r="J21" s="84"/>
    </row>
    <row r="22" spans="1:10" ht="15" customHeight="1">
      <c r="A22" s="86"/>
      <c r="B22" s="86"/>
      <c r="C22" s="88" t="s">
        <v>380</v>
      </c>
      <c r="D22" s="157">
        <f t="shared" si="3"/>
        <v>4332855481</v>
      </c>
      <c r="E22" s="156"/>
      <c r="F22" s="156">
        <v>4332855481</v>
      </c>
      <c r="G22" s="156"/>
      <c r="H22" s="156"/>
      <c r="I22" s="156"/>
      <c r="J22" s="84"/>
    </row>
    <row r="23" spans="1:10" ht="15.75">
      <c r="A23" s="86"/>
      <c r="B23" s="86"/>
      <c r="C23" s="87" t="s">
        <v>370</v>
      </c>
      <c r="D23" s="157">
        <f>SUM(E23:H23)</f>
        <v>15638024707</v>
      </c>
      <c r="E23" s="156"/>
      <c r="F23" s="156">
        <v>15638024707</v>
      </c>
      <c r="G23" s="156"/>
      <c r="H23" s="156"/>
      <c r="I23" s="156"/>
      <c r="J23" s="84"/>
    </row>
    <row r="24" spans="1:10" ht="15.75">
      <c r="A24" s="86"/>
      <c r="B24" s="86"/>
      <c r="C24" s="87" t="s">
        <v>371</v>
      </c>
      <c r="D24" s="157">
        <f>SUM(E24:H24)</f>
        <v>3554623000</v>
      </c>
      <c r="E24" s="156"/>
      <c r="F24" s="156">
        <v>3554623000</v>
      </c>
      <c r="G24" s="156"/>
      <c r="H24" s="156"/>
      <c r="I24" s="156"/>
      <c r="J24" s="84"/>
    </row>
    <row r="25" spans="1:10" ht="15.75">
      <c r="A25" s="86"/>
      <c r="B25" s="86"/>
      <c r="C25" s="88" t="s">
        <v>372</v>
      </c>
      <c r="D25" s="157">
        <f t="shared" si="3"/>
        <v>1852559288</v>
      </c>
      <c r="E25" s="156"/>
      <c r="F25" s="156">
        <f>23204980+1829354308</f>
        <v>1852559288</v>
      </c>
      <c r="G25" s="156"/>
      <c r="H25" s="156"/>
      <c r="I25" s="156"/>
      <c r="J25" s="84"/>
    </row>
    <row r="26" spans="1:10" ht="15.75">
      <c r="A26" s="86"/>
      <c r="B26" s="86"/>
      <c r="C26" s="161" t="s">
        <v>454</v>
      </c>
      <c r="D26" s="157">
        <f t="shared" si="3"/>
        <v>1618386438</v>
      </c>
      <c r="E26" s="156"/>
      <c r="F26" s="156">
        <f>1016163319+602223119</f>
        <v>1618386438</v>
      </c>
      <c r="G26" s="156"/>
      <c r="H26" s="156"/>
      <c r="I26" s="156"/>
      <c r="J26" s="84"/>
    </row>
    <row r="27" spans="1:10" ht="15.75">
      <c r="A27" s="86"/>
      <c r="B27" s="86"/>
      <c r="C27" s="87" t="s">
        <v>373</v>
      </c>
      <c r="D27" s="157">
        <f t="shared" si="3"/>
        <v>77648124029</v>
      </c>
      <c r="E27" s="156">
        <v>3332456440</v>
      </c>
      <c r="F27" s="156"/>
      <c r="G27" s="156">
        <v>2258623200</v>
      </c>
      <c r="H27" s="156">
        <v>72057044389</v>
      </c>
      <c r="I27" s="156"/>
      <c r="J27" s="84"/>
    </row>
    <row r="28" spans="1:10" ht="15.75">
      <c r="A28" s="86"/>
      <c r="B28" s="86"/>
      <c r="C28" s="87" t="s">
        <v>381</v>
      </c>
      <c r="D28" s="157">
        <f>SUM(E28:H28)</f>
        <v>5513526939</v>
      </c>
      <c r="E28" s="156"/>
      <c r="F28" s="156">
        <v>5513526939</v>
      </c>
      <c r="G28" s="156"/>
      <c r="H28" s="162"/>
      <c r="I28" s="162"/>
      <c r="J28" s="84"/>
    </row>
    <row r="29" spans="1:10" ht="15.75">
      <c r="A29" s="86">
        <v>4</v>
      </c>
      <c r="B29" s="86">
        <v>413</v>
      </c>
      <c r="C29" s="126" t="s">
        <v>91</v>
      </c>
      <c r="D29" s="155">
        <f aca="true" t="shared" si="4" ref="D29:I29">SUM(D30:D31)</f>
        <v>14287600400</v>
      </c>
      <c r="E29" s="180">
        <f t="shared" si="4"/>
        <v>3637091000</v>
      </c>
      <c r="F29" s="180">
        <f t="shared" si="4"/>
        <v>1647851572</v>
      </c>
      <c r="G29" s="180">
        <f t="shared" si="4"/>
        <v>40000000</v>
      </c>
      <c r="H29" s="180">
        <f t="shared" si="4"/>
        <v>8962657828</v>
      </c>
      <c r="I29" s="180">
        <f t="shared" si="4"/>
        <v>0</v>
      </c>
      <c r="J29" s="84"/>
    </row>
    <row r="30" spans="1:10" ht="15.75">
      <c r="A30" s="86">
        <v>5</v>
      </c>
      <c r="B30" s="86"/>
      <c r="C30" s="87" t="s">
        <v>383</v>
      </c>
      <c r="D30" s="157">
        <f>SUM(E30:H30)</f>
        <v>1647851572</v>
      </c>
      <c r="E30" s="156"/>
      <c r="F30" s="156">
        <v>1647851572</v>
      </c>
      <c r="G30" s="156"/>
      <c r="H30" s="156"/>
      <c r="I30" s="156"/>
      <c r="J30" s="84"/>
    </row>
    <row r="31" spans="1:10" ht="15.75">
      <c r="A31" s="86"/>
      <c r="B31" s="86"/>
      <c r="C31" s="87" t="s">
        <v>384</v>
      </c>
      <c r="D31" s="157">
        <f t="shared" si="3"/>
        <v>12639748828</v>
      </c>
      <c r="E31" s="156">
        <f>223621000+3453470000-40000000</f>
        <v>3637091000</v>
      </c>
      <c r="F31" s="156"/>
      <c r="G31" s="156">
        <v>40000000</v>
      </c>
      <c r="H31" s="156">
        <v>8962657828</v>
      </c>
      <c r="I31" s="156"/>
      <c r="J31" s="84"/>
    </row>
    <row r="32" spans="1:10" ht="15.75">
      <c r="A32" s="86">
        <v>6</v>
      </c>
      <c r="B32" s="86">
        <v>414</v>
      </c>
      <c r="C32" s="126" t="s">
        <v>38</v>
      </c>
      <c r="D32" s="155">
        <f aca="true" t="shared" si="5" ref="D32:I32">SUM(D33:D36)</f>
        <v>5489999239</v>
      </c>
      <c r="E32" s="180">
        <f t="shared" si="5"/>
        <v>4283117948</v>
      </c>
      <c r="F32" s="180">
        <f t="shared" si="5"/>
        <v>1176881291</v>
      </c>
      <c r="G32" s="180">
        <f t="shared" si="5"/>
        <v>30000000</v>
      </c>
      <c r="H32" s="180">
        <f t="shared" si="5"/>
        <v>0</v>
      </c>
      <c r="I32" s="180">
        <f t="shared" si="5"/>
        <v>0</v>
      </c>
      <c r="J32" s="84"/>
    </row>
    <row r="33" spans="1:10" ht="15.75">
      <c r="A33" s="86"/>
      <c r="B33" s="86"/>
      <c r="C33" s="87" t="s">
        <v>424</v>
      </c>
      <c r="D33" s="157">
        <f>SUM(E33:H33)</f>
        <v>575376138</v>
      </c>
      <c r="E33" s="156"/>
      <c r="F33" s="156">
        <f>296376138+279000000</f>
        <v>575376138</v>
      </c>
      <c r="G33" s="156"/>
      <c r="H33" s="156"/>
      <c r="I33" s="156"/>
      <c r="J33" s="84"/>
    </row>
    <row r="34" spans="1:10" ht="15.75">
      <c r="A34" s="86"/>
      <c r="B34" s="86"/>
      <c r="C34" s="124" t="s">
        <v>455</v>
      </c>
      <c r="D34" s="157">
        <f>SUM(E34:I34)</f>
        <v>891389188</v>
      </c>
      <c r="E34" s="156">
        <v>891389188</v>
      </c>
      <c r="F34" s="156"/>
      <c r="G34" s="156"/>
      <c r="H34" s="156"/>
      <c r="I34" s="156"/>
      <c r="J34" s="84"/>
    </row>
    <row r="35" spans="1:10" ht="15.75">
      <c r="A35" s="86"/>
      <c r="B35" s="86"/>
      <c r="C35" s="87" t="s">
        <v>425</v>
      </c>
      <c r="D35" s="157">
        <f>SUM(E35:I35)</f>
        <v>3421728760</v>
      </c>
      <c r="E35" s="156">
        <v>3391728760</v>
      </c>
      <c r="F35" s="156"/>
      <c r="G35" s="156">
        <v>30000000</v>
      </c>
      <c r="H35" s="156"/>
      <c r="I35" s="156"/>
      <c r="J35" s="84"/>
    </row>
    <row r="36" spans="1:10" ht="15.75">
      <c r="A36" s="86"/>
      <c r="B36" s="86"/>
      <c r="C36" s="87" t="s">
        <v>426</v>
      </c>
      <c r="D36" s="157">
        <f>SUM(E36:H36)</f>
        <v>601505153</v>
      </c>
      <c r="E36" s="156"/>
      <c r="F36" s="156">
        <v>601505153</v>
      </c>
      <c r="G36" s="156"/>
      <c r="H36" s="156"/>
      <c r="I36" s="156"/>
      <c r="J36" s="84"/>
    </row>
    <row r="37" spans="1:10" ht="15.75">
      <c r="A37" s="86">
        <v>7</v>
      </c>
      <c r="B37" s="86">
        <v>416</v>
      </c>
      <c r="C37" s="126" t="s">
        <v>62</v>
      </c>
      <c r="D37" s="155">
        <f aca="true" t="shared" si="6" ref="D37:I37">SUM(D38:D39)</f>
        <v>29565397026</v>
      </c>
      <c r="E37" s="180">
        <f t="shared" si="6"/>
        <v>19868390800</v>
      </c>
      <c r="F37" s="180">
        <f t="shared" si="6"/>
        <v>6148484819</v>
      </c>
      <c r="G37" s="180">
        <f t="shared" si="6"/>
        <v>0</v>
      </c>
      <c r="H37" s="180">
        <f t="shared" si="6"/>
        <v>3548521407</v>
      </c>
      <c r="I37" s="180">
        <f t="shared" si="6"/>
        <v>0</v>
      </c>
      <c r="J37" s="84"/>
    </row>
    <row r="38" spans="1:10" ht="15.75">
      <c r="A38" s="86"/>
      <c r="B38" s="86"/>
      <c r="C38" s="87" t="s">
        <v>428</v>
      </c>
      <c r="D38" s="157">
        <f>SUM(E38:I38)</f>
        <v>23416912207</v>
      </c>
      <c r="E38" s="156">
        <v>19868390800</v>
      </c>
      <c r="F38" s="156"/>
      <c r="G38" s="156"/>
      <c r="H38" s="156">
        <v>3548521407</v>
      </c>
      <c r="I38" s="156"/>
      <c r="J38" s="84"/>
    </row>
    <row r="39" spans="1:10" ht="15.75">
      <c r="A39" s="86"/>
      <c r="B39" s="86"/>
      <c r="C39" s="87" t="s">
        <v>85</v>
      </c>
      <c r="D39" s="157">
        <f>SUM(E39:H39)</f>
        <v>6148484819</v>
      </c>
      <c r="E39" s="156"/>
      <c r="F39" s="156">
        <v>6148484819</v>
      </c>
      <c r="G39" s="156"/>
      <c r="H39" s="156"/>
      <c r="I39" s="156"/>
      <c r="J39" s="84"/>
    </row>
    <row r="40" spans="1:10" ht="15.75">
      <c r="A40" s="86">
        <v>8</v>
      </c>
      <c r="B40" s="86">
        <v>417</v>
      </c>
      <c r="C40" s="126" t="s">
        <v>99</v>
      </c>
      <c r="D40" s="155">
        <f aca="true" t="shared" si="7" ref="D40:I40">SUM(D41:D43)</f>
        <v>22775032505</v>
      </c>
      <c r="E40" s="180">
        <f t="shared" si="7"/>
        <v>2137514000</v>
      </c>
      <c r="F40" s="180">
        <f t="shared" si="7"/>
        <v>16005932340</v>
      </c>
      <c r="G40" s="180">
        <f t="shared" si="7"/>
        <v>0</v>
      </c>
      <c r="H40" s="180">
        <f t="shared" si="7"/>
        <v>4631586165</v>
      </c>
      <c r="I40" s="180">
        <f t="shared" si="7"/>
        <v>0</v>
      </c>
      <c r="J40" s="84"/>
    </row>
    <row r="41" spans="1:10" ht="15.75">
      <c r="A41" s="86"/>
      <c r="B41" s="86"/>
      <c r="C41" s="87" t="s">
        <v>414</v>
      </c>
      <c r="D41" s="157">
        <f>SUM(E41:I41)</f>
        <v>20518799274</v>
      </c>
      <c r="E41" s="156">
        <f>2081000000+56514000</f>
        <v>2137514000</v>
      </c>
      <c r="F41" s="156">
        <f>13730757859+18941250</f>
        <v>13749699109</v>
      </c>
      <c r="G41" s="156"/>
      <c r="H41" s="156">
        <v>4631586165</v>
      </c>
      <c r="I41" s="156"/>
      <c r="J41" s="84"/>
    </row>
    <row r="42" spans="1:10" ht="15.75">
      <c r="A42" s="86"/>
      <c r="B42" s="86"/>
      <c r="C42" s="87" t="s">
        <v>415</v>
      </c>
      <c r="D42" s="157">
        <f>SUM(E42:H42)</f>
        <v>750744231</v>
      </c>
      <c r="E42" s="156"/>
      <c r="F42" s="156">
        <v>750744231</v>
      </c>
      <c r="G42" s="156"/>
      <c r="H42" s="156"/>
      <c r="I42" s="156"/>
      <c r="J42" s="84"/>
    </row>
    <row r="43" spans="1:10" ht="15.75">
      <c r="A43" s="86"/>
      <c r="B43" s="86"/>
      <c r="C43" s="87" t="s">
        <v>416</v>
      </c>
      <c r="D43" s="157">
        <f>SUM(E43:H43)</f>
        <v>1505489000</v>
      </c>
      <c r="E43" s="156"/>
      <c r="F43" s="156">
        <f>1471489000+34000000</f>
        <v>1505489000</v>
      </c>
      <c r="G43" s="156"/>
      <c r="H43" s="156"/>
      <c r="I43" s="156"/>
      <c r="J43" s="84"/>
    </row>
    <row r="44" spans="1:10" ht="15.75">
      <c r="A44" s="86">
        <v>9</v>
      </c>
      <c r="B44" s="86">
        <v>418</v>
      </c>
      <c r="C44" s="127" t="s">
        <v>79</v>
      </c>
      <c r="D44" s="155">
        <f>SUM(E44:I44)</f>
        <v>6680405714</v>
      </c>
      <c r="E44" s="156">
        <v>6680405714</v>
      </c>
      <c r="F44" s="156"/>
      <c r="G44" s="156"/>
      <c r="H44" s="156"/>
      <c r="I44" s="156"/>
      <c r="J44" s="84"/>
    </row>
    <row r="45" spans="1:10" ht="15.75">
      <c r="A45" s="86">
        <v>10</v>
      </c>
      <c r="B45" s="86">
        <v>419</v>
      </c>
      <c r="C45" s="127" t="s">
        <v>95</v>
      </c>
      <c r="D45" s="155">
        <f aca="true" t="shared" si="8" ref="D45:I45">SUM(D46:D48)</f>
        <v>40029434958</v>
      </c>
      <c r="E45" s="180">
        <f t="shared" si="8"/>
        <v>6082657320</v>
      </c>
      <c r="F45" s="180">
        <f t="shared" si="8"/>
        <v>2687660617</v>
      </c>
      <c r="G45" s="180">
        <f t="shared" si="8"/>
        <v>0</v>
      </c>
      <c r="H45" s="180">
        <f t="shared" si="8"/>
        <v>31259117021</v>
      </c>
      <c r="I45" s="180">
        <f t="shared" si="8"/>
        <v>0</v>
      </c>
      <c r="J45" s="84"/>
    </row>
    <row r="46" spans="1:10" ht="15.75">
      <c r="A46" s="86"/>
      <c r="B46" s="86"/>
      <c r="C46" s="87" t="s">
        <v>417</v>
      </c>
      <c r="D46" s="157">
        <f>SUM(E46:I46)</f>
        <v>35208370776</v>
      </c>
      <c r="E46" s="156">
        <v>3269373862</v>
      </c>
      <c r="F46" s="156">
        <v>679879893</v>
      </c>
      <c r="G46" s="156"/>
      <c r="H46" s="156">
        <v>31259117021</v>
      </c>
      <c r="I46" s="156"/>
      <c r="J46" s="84"/>
    </row>
    <row r="47" spans="1:10" ht="15.75">
      <c r="A47" s="86"/>
      <c r="B47" s="86"/>
      <c r="C47" s="87" t="s">
        <v>423</v>
      </c>
      <c r="D47" s="157">
        <f>SUM(E47:H47)</f>
        <v>1395550794</v>
      </c>
      <c r="E47" s="156">
        <v>1395550794</v>
      </c>
      <c r="F47" s="156"/>
      <c r="G47" s="156"/>
      <c r="H47" s="156"/>
      <c r="I47" s="156"/>
      <c r="J47" s="84"/>
    </row>
    <row r="48" spans="1:10" ht="15.75">
      <c r="A48" s="86"/>
      <c r="B48" s="86"/>
      <c r="C48" s="87" t="s">
        <v>418</v>
      </c>
      <c r="D48" s="157">
        <f>SUM(E48:H48)</f>
        <v>3425513388</v>
      </c>
      <c r="E48" s="156">
        <f>967732664+450000000</f>
        <v>1417732664</v>
      </c>
      <c r="F48" s="156">
        <v>2007780724</v>
      </c>
      <c r="G48" s="156"/>
      <c r="H48" s="156"/>
      <c r="I48" s="156"/>
      <c r="J48" s="84"/>
    </row>
    <row r="49" spans="1:10" ht="15.75">
      <c r="A49" s="86">
        <v>11</v>
      </c>
      <c r="B49" s="86">
        <v>421</v>
      </c>
      <c r="C49" s="126" t="s">
        <v>100</v>
      </c>
      <c r="D49" s="155">
        <f aca="true" t="shared" si="9" ref="D49:I49">SUM(D50:D52)</f>
        <v>120941457847</v>
      </c>
      <c r="E49" s="180">
        <f t="shared" si="9"/>
        <v>3735411998</v>
      </c>
      <c r="F49" s="180">
        <f t="shared" si="9"/>
        <v>11163066558</v>
      </c>
      <c r="G49" s="180">
        <f t="shared" si="9"/>
        <v>0</v>
      </c>
      <c r="H49" s="180">
        <f t="shared" si="9"/>
        <v>106042979291</v>
      </c>
      <c r="I49" s="180">
        <f t="shared" si="9"/>
        <v>0</v>
      </c>
      <c r="J49" s="84"/>
    </row>
    <row r="50" spans="1:10" ht="15.75">
      <c r="A50" s="86"/>
      <c r="B50" s="86"/>
      <c r="C50" s="87" t="s">
        <v>419</v>
      </c>
      <c r="D50" s="157">
        <f>SUM(E50:H50)</f>
        <v>109778391289</v>
      </c>
      <c r="E50" s="156">
        <v>3735411998</v>
      </c>
      <c r="F50" s="156"/>
      <c r="G50" s="156"/>
      <c r="H50" s="156">
        <v>106042979291</v>
      </c>
      <c r="I50" s="156"/>
      <c r="J50" s="84"/>
    </row>
    <row r="51" spans="1:10" ht="15.75">
      <c r="A51" s="86"/>
      <c r="B51" s="86"/>
      <c r="C51" s="87" t="s">
        <v>420</v>
      </c>
      <c r="D51" s="157">
        <f>SUM(E51:H51)</f>
        <v>1898000000</v>
      </c>
      <c r="E51" s="156"/>
      <c r="F51" s="156">
        <v>1898000000</v>
      </c>
      <c r="G51" s="156"/>
      <c r="H51" s="156"/>
      <c r="I51" s="156"/>
      <c r="J51" s="84"/>
    </row>
    <row r="52" spans="1:10" ht="15.75">
      <c r="A52" s="86"/>
      <c r="B52" s="86"/>
      <c r="C52" s="87" t="s">
        <v>421</v>
      </c>
      <c r="D52" s="157">
        <f>SUM(E52:H52)</f>
        <v>9265066558</v>
      </c>
      <c r="E52" s="156"/>
      <c r="F52" s="156">
        <v>9265066558</v>
      </c>
      <c r="G52" s="156"/>
      <c r="H52" s="156"/>
      <c r="I52" s="156"/>
      <c r="J52" s="84"/>
    </row>
    <row r="53" spans="1:10" ht="15.75">
      <c r="A53" s="86">
        <v>12</v>
      </c>
      <c r="B53" s="86">
        <v>422</v>
      </c>
      <c r="C53" s="126" t="s">
        <v>385</v>
      </c>
      <c r="D53" s="155">
        <f aca="true" t="shared" si="10" ref="D53:I53">SUM(D54:D60)</f>
        <v>320319116724</v>
      </c>
      <c r="E53" s="180">
        <f t="shared" si="10"/>
        <v>3678318000</v>
      </c>
      <c r="F53" s="180">
        <f t="shared" si="10"/>
        <v>176697583124</v>
      </c>
      <c r="G53" s="180">
        <f t="shared" si="10"/>
        <v>11542428801</v>
      </c>
      <c r="H53" s="180">
        <f t="shared" si="10"/>
        <v>128400786799</v>
      </c>
      <c r="I53" s="180">
        <f t="shared" si="10"/>
        <v>0</v>
      </c>
      <c r="J53" s="84"/>
    </row>
    <row r="54" spans="1:10" ht="15.75">
      <c r="A54" s="86"/>
      <c r="B54" s="86"/>
      <c r="C54" s="88" t="s">
        <v>386</v>
      </c>
      <c r="D54" s="157">
        <f>SUM(E54:H54)</f>
        <v>10380037139</v>
      </c>
      <c r="E54" s="156"/>
      <c r="F54" s="156">
        <f>7084749195+3295287944</f>
        <v>10380037139</v>
      </c>
      <c r="G54" s="156"/>
      <c r="H54" s="156"/>
      <c r="I54" s="156"/>
      <c r="J54" s="84"/>
    </row>
    <row r="55" spans="1:10" ht="15.75">
      <c r="A55" s="86"/>
      <c r="B55" s="86"/>
      <c r="C55" s="88" t="s">
        <v>387</v>
      </c>
      <c r="D55" s="157">
        <f>SUM(E55:H55)</f>
        <v>123273701919</v>
      </c>
      <c r="E55" s="156"/>
      <c r="F55" s="156">
        <v>111731273118</v>
      </c>
      <c r="G55" s="156">
        <v>11542428801</v>
      </c>
      <c r="H55" s="156"/>
      <c r="I55" s="156"/>
      <c r="J55" s="84"/>
    </row>
    <row r="56" spans="1:10" ht="15.75">
      <c r="A56" s="86"/>
      <c r="B56" s="86"/>
      <c r="C56" s="161" t="s">
        <v>456</v>
      </c>
      <c r="D56" s="157">
        <f>SUM(E56:H56)</f>
        <v>14252444542</v>
      </c>
      <c r="E56" s="156"/>
      <c r="F56" s="156">
        <v>14252444542</v>
      </c>
      <c r="G56" s="156"/>
      <c r="H56" s="156"/>
      <c r="I56" s="156"/>
      <c r="J56" s="84"/>
    </row>
    <row r="57" spans="1:10" ht="15.75">
      <c r="A57" s="86"/>
      <c r="B57" s="86"/>
      <c r="C57" s="87" t="s">
        <v>388</v>
      </c>
      <c r="D57" s="157">
        <f>SUM(E57:I57)</f>
        <v>142190037455</v>
      </c>
      <c r="E57" s="156">
        <v>3678318000</v>
      </c>
      <c r="F57" s="156">
        <v>10110932656</v>
      </c>
      <c r="G57" s="156"/>
      <c r="H57" s="156">
        <v>128400786799</v>
      </c>
      <c r="I57" s="156"/>
      <c r="J57" s="84"/>
    </row>
    <row r="58" spans="1:10" ht="15.75">
      <c r="A58" s="86"/>
      <c r="B58" s="86"/>
      <c r="C58" s="87" t="s">
        <v>427</v>
      </c>
      <c r="D58" s="157">
        <f>SUM(E58:H58)</f>
        <v>7701268000</v>
      </c>
      <c r="E58" s="156"/>
      <c r="F58" s="156">
        <v>7701268000</v>
      </c>
      <c r="G58" s="156"/>
      <c r="H58" s="156"/>
      <c r="I58" s="156"/>
      <c r="J58" s="84"/>
    </row>
    <row r="59" spans="1:10" ht="15.75">
      <c r="A59" s="86"/>
      <c r="B59" s="86"/>
      <c r="C59" s="87" t="s">
        <v>402</v>
      </c>
      <c r="D59" s="157">
        <f>SUM(E59:H59)</f>
        <v>15191077284</v>
      </c>
      <c r="E59" s="156"/>
      <c r="F59" s="156">
        <v>15191077284</v>
      </c>
      <c r="G59" s="156"/>
      <c r="H59" s="156"/>
      <c r="I59" s="156"/>
      <c r="J59" s="84"/>
    </row>
    <row r="60" spans="1:10" ht="15.75">
      <c r="A60" s="86"/>
      <c r="B60" s="86"/>
      <c r="C60" s="87" t="s">
        <v>389</v>
      </c>
      <c r="D60" s="157">
        <f>SUM(E60:H60)</f>
        <v>7330550385</v>
      </c>
      <c r="E60" s="156"/>
      <c r="F60" s="156">
        <f>82428251+7248122134</f>
        <v>7330550385</v>
      </c>
      <c r="G60" s="156"/>
      <c r="H60" s="156"/>
      <c r="I60" s="156"/>
      <c r="J60" s="84"/>
    </row>
    <row r="61" spans="1:10" ht="15.75">
      <c r="A61" s="86">
        <v>13</v>
      </c>
      <c r="B61" s="86">
        <v>423</v>
      </c>
      <c r="C61" s="126" t="s">
        <v>345</v>
      </c>
      <c r="D61" s="155">
        <f aca="true" t="shared" si="11" ref="D61:I61">SUM(D62:D75)</f>
        <v>212775380166</v>
      </c>
      <c r="E61" s="180">
        <f t="shared" si="11"/>
        <v>2929132000</v>
      </c>
      <c r="F61" s="180">
        <f t="shared" si="11"/>
        <v>143739273809</v>
      </c>
      <c r="G61" s="180">
        <f t="shared" si="11"/>
        <v>17186458454</v>
      </c>
      <c r="H61" s="180">
        <f t="shared" si="11"/>
        <v>47047773195</v>
      </c>
      <c r="I61" s="180">
        <f t="shared" si="11"/>
        <v>1872742708</v>
      </c>
      <c r="J61" s="84"/>
    </row>
    <row r="62" spans="1:10" ht="15.75">
      <c r="A62" s="86"/>
      <c r="B62" s="131"/>
      <c r="C62" s="87" t="s">
        <v>390</v>
      </c>
      <c r="D62" s="157">
        <f>SUM(E62:H62)</f>
        <v>17813978892</v>
      </c>
      <c r="E62" s="156"/>
      <c r="F62" s="156">
        <v>17813978892</v>
      </c>
      <c r="G62" s="156"/>
      <c r="H62" s="156"/>
      <c r="I62" s="156"/>
      <c r="J62" s="84"/>
    </row>
    <row r="63" spans="1:10" ht="15.75">
      <c r="A63" s="86"/>
      <c r="B63" s="86"/>
      <c r="C63" s="87" t="s">
        <v>391</v>
      </c>
      <c r="D63" s="157">
        <f>SUM(E63:I63)</f>
        <v>50149872965</v>
      </c>
      <c r="E63" s="156">
        <f>2795500000+133632000</f>
        <v>2929132000</v>
      </c>
      <c r="F63" s="156"/>
      <c r="G63" s="156">
        <v>51108350</v>
      </c>
      <c r="H63" s="156">
        <v>47047773195</v>
      </c>
      <c r="I63" s="156">
        <v>121859420</v>
      </c>
      <c r="J63" s="84"/>
    </row>
    <row r="64" spans="1:10" ht="15.75">
      <c r="A64" s="86"/>
      <c r="B64" s="86"/>
      <c r="C64" s="87" t="s">
        <v>392</v>
      </c>
      <c r="D64" s="157">
        <f aca="true" t="shared" si="12" ref="D64:D71">SUM(E64:I64)</f>
        <v>2854000000</v>
      </c>
      <c r="E64" s="156"/>
      <c r="F64" s="156">
        <v>1761000000</v>
      </c>
      <c r="G64" s="156">
        <v>1093000000</v>
      </c>
      <c r="H64" s="156"/>
      <c r="I64" s="156"/>
      <c r="J64" s="84"/>
    </row>
    <row r="65" spans="1:10" ht="15.75">
      <c r="A65" s="86"/>
      <c r="B65" s="86"/>
      <c r="C65" s="87" t="s">
        <v>393</v>
      </c>
      <c r="D65" s="157">
        <f t="shared" si="12"/>
        <v>91898271494</v>
      </c>
      <c r="E65" s="156"/>
      <c r="F65" s="156">
        <f>66717971494+22825150680+694849320+60300000+1600000000</f>
        <v>91898271494</v>
      </c>
      <c r="G65" s="156"/>
      <c r="H65" s="156"/>
      <c r="I65" s="156"/>
      <c r="J65" s="84"/>
    </row>
    <row r="66" spans="1:10" ht="15.75">
      <c r="A66" s="86"/>
      <c r="B66" s="86"/>
      <c r="C66" s="87" t="s">
        <v>394</v>
      </c>
      <c r="D66" s="157">
        <f t="shared" si="12"/>
        <v>16026139937</v>
      </c>
      <c r="E66" s="156"/>
      <c r="F66" s="156">
        <v>12516182921</v>
      </c>
      <c r="G66" s="156">
        <v>3030848000</v>
      </c>
      <c r="H66" s="156"/>
      <c r="I66" s="156">
        <f>366005929+113103087</f>
        <v>479109016</v>
      </c>
      <c r="J66" s="84"/>
    </row>
    <row r="67" spans="1:10" ht="31.5">
      <c r="A67" s="86"/>
      <c r="B67" s="86"/>
      <c r="C67" s="128" t="s">
        <v>471</v>
      </c>
      <c r="D67" s="157">
        <f t="shared" si="12"/>
        <v>1586174663</v>
      </c>
      <c r="E67" s="156"/>
      <c r="F67" s="156">
        <v>1559585563</v>
      </c>
      <c r="G67" s="156"/>
      <c r="H67" s="156"/>
      <c r="I67" s="156">
        <v>26589100</v>
      </c>
      <c r="J67" s="84"/>
    </row>
    <row r="68" spans="1:10" ht="15.75">
      <c r="A68" s="86"/>
      <c r="B68" s="86"/>
      <c r="C68" s="87" t="s">
        <v>395</v>
      </c>
      <c r="D68" s="157">
        <f t="shared" si="12"/>
        <v>5688289755</v>
      </c>
      <c r="E68" s="156"/>
      <c r="F68" s="156">
        <v>3568366067</v>
      </c>
      <c r="G68" s="156">
        <v>2072001851</v>
      </c>
      <c r="H68" s="156"/>
      <c r="I68" s="156">
        <v>47921837</v>
      </c>
      <c r="J68" s="84"/>
    </row>
    <row r="69" spans="1:10" ht="15.75">
      <c r="A69" s="86"/>
      <c r="B69" s="86"/>
      <c r="C69" s="87" t="s">
        <v>396</v>
      </c>
      <c r="D69" s="157">
        <f t="shared" si="12"/>
        <v>3293056251</v>
      </c>
      <c r="E69" s="156"/>
      <c r="F69" s="156">
        <v>1769075536</v>
      </c>
      <c r="G69" s="156">
        <v>1523980715</v>
      </c>
      <c r="H69" s="156"/>
      <c r="I69" s="156"/>
      <c r="J69" s="84"/>
    </row>
    <row r="70" spans="1:10" ht="31.5">
      <c r="A70" s="86"/>
      <c r="B70" s="86"/>
      <c r="C70" s="128" t="s">
        <v>472</v>
      </c>
      <c r="D70" s="157">
        <f t="shared" si="12"/>
        <v>1253765987</v>
      </c>
      <c r="E70" s="156"/>
      <c r="F70" s="156">
        <v>1203765987</v>
      </c>
      <c r="G70" s="156">
        <v>50000000</v>
      </c>
      <c r="H70" s="156"/>
      <c r="I70" s="156"/>
      <c r="J70" s="84"/>
    </row>
    <row r="71" spans="1:10" ht="15.75">
      <c r="A71" s="86"/>
      <c r="B71" s="86"/>
      <c r="C71" s="87" t="s">
        <v>397</v>
      </c>
      <c r="D71" s="157">
        <f t="shared" si="12"/>
        <v>4916712130</v>
      </c>
      <c r="E71" s="156"/>
      <c r="F71" s="156">
        <v>2389066870</v>
      </c>
      <c r="G71" s="156">
        <v>1419000000</v>
      </c>
      <c r="H71" s="156"/>
      <c r="I71" s="156">
        <f>725330004+383315256</f>
        <v>1108645260</v>
      </c>
      <c r="J71" s="84"/>
    </row>
    <row r="72" spans="1:10" ht="15.75">
      <c r="A72" s="86"/>
      <c r="B72" s="86"/>
      <c r="C72" s="87" t="s">
        <v>398</v>
      </c>
      <c r="D72" s="157">
        <f>SUM(E72:I72)</f>
        <v>2683034573</v>
      </c>
      <c r="E72" s="156"/>
      <c r="F72" s="156">
        <v>1262333278</v>
      </c>
      <c r="G72" s="156">
        <v>1351866220</v>
      </c>
      <c r="H72" s="156"/>
      <c r="I72" s="156">
        <v>68835075</v>
      </c>
      <c r="J72" s="84"/>
    </row>
    <row r="73" spans="1:10" ht="15.75">
      <c r="A73" s="86"/>
      <c r="B73" s="86"/>
      <c r="C73" s="87" t="s">
        <v>399</v>
      </c>
      <c r="D73" s="157">
        <f>SUM(E73:I73)</f>
        <v>10125803186</v>
      </c>
      <c r="E73" s="156"/>
      <c r="F73" s="156">
        <f>1390279718+2140870150</f>
        <v>3531149868</v>
      </c>
      <c r="G73" s="156">
        <v>6594653318</v>
      </c>
      <c r="H73" s="156"/>
      <c r="I73" s="156"/>
      <c r="J73" s="84"/>
    </row>
    <row r="74" spans="1:10" ht="15.75">
      <c r="A74" s="86"/>
      <c r="B74" s="86"/>
      <c r="C74" s="87" t="s">
        <v>400</v>
      </c>
      <c r="D74" s="157">
        <f>SUM(E74:I74)</f>
        <v>916347333</v>
      </c>
      <c r="E74" s="156"/>
      <c r="F74" s="156">
        <f>851000000+45564333</f>
        <v>896564333</v>
      </c>
      <c r="G74" s="156"/>
      <c r="H74" s="156"/>
      <c r="I74" s="156">
        <v>19783000</v>
      </c>
      <c r="J74" s="84"/>
    </row>
    <row r="75" spans="1:10" ht="15.75">
      <c r="A75" s="86"/>
      <c r="B75" s="86"/>
      <c r="C75" s="87" t="s">
        <v>401</v>
      </c>
      <c r="D75" s="157">
        <f>SUM(E75:H75)</f>
        <v>3569933000</v>
      </c>
      <c r="E75" s="156"/>
      <c r="F75" s="156">
        <v>3569933000</v>
      </c>
      <c r="G75" s="156"/>
      <c r="H75" s="156"/>
      <c r="I75" s="156"/>
      <c r="J75" s="84"/>
    </row>
    <row r="76" spans="1:10" ht="15.75">
      <c r="A76" s="86">
        <v>14</v>
      </c>
      <c r="B76" s="86">
        <v>424</v>
      </c>
      <c r="C76" s="126" t="s">
        <v>457</v>
      </c>
      <c r="D76" s="155">
        <f>SUM(E76:I76)</f>
        <v>48645307602</v>
      </c>
      <c r="E76" s="180">
        <v>2669545000</v>
      </c>
      <c r="F76" s="180">
        <f>14959920244-2669545000+2160048576</f>
        <v>14450423820</v>
      </c>
      <c r="G76" s="180">
        <v>21978608969</v>
      </c>
      <c r="H76" s="180">
        <v>9546729813</v>
      </c>
      <c r="I76" s="180"/>
      <c r="J76" s="84"/>
    </row>
    <row r="77" spans="1:10" ht="15.75">
      <c r="A77" s="86">
        <v>15</v>
      </c>
      <c r="B77" s="86">
        <v>425</v>
      </c>
      <c r="C77" s="126" t="s">
        <v>406</v>
      </c>
      <c r="D77" s="155">
        <f aca="true" t="shared" si="13" ref="D77:I77">SUM(D78:D84)</f>
        <v>49682010660</v>
      </c>
      <c r="E77" s="180">
        <f t="shared" si="13"/>
        <v>337164900</v>
      </c>
      <c r="F77" s="180">
        <f t="shared" si="13"/>
        <v>28341941712</v>
      </c>
      <c r="G77" s="180">
        <f t="shared" si="13"/>
        <v>2060359000</v>
      </c>
      <c r="H77" s="180">
        <f t="shared" si="13"/>
        <v>18942545048</v>
      </c>
      <c r="I77" s="180">
        <f t="shared" si="13"/>
        <v>0</v>
      </c>
      <c r="J77" s="84"/>
    </row>
    <row r="78" spans="1:10" ht="15.75">
      <c r="A78" s="86"/>
      <c r="B78" s="86"/>
      <c r="C78" s="87" t="s">
        <v>407</v>
      </c>
      <c r="D78" s="157">
        <f aca="true" t="shared" si="14" ref="D78:D83">SUM(E78:H78)</f>
        <v>1478300000</v>
      </c>
      <c r="E78" s="156"/>
      <c r="F78" s="156">
        <v>1478300000</v>
      </c>
      <c r="G78" s="156"/>
      <c r="H78" s="156"/>
      <c r="I78" s="156"/>
      <c r="J78" s="84"/>
    </row>
    <row r="79" spans="1:10" ht="15.75">
      <c r="A79" s="86"/>
      <c r="B79" s="86"/>
      <c r="C79" s="87" t="s">
        <v>408</v>
      </c>
      <c r="D79" s="157">
        <f t="shared" si="14"/>
        <v>1535627000</v>
      </c>
      <c r="E79" s="156"/>
      <c r="F79" s="156">
        <v>1535627000</v>
      </c>
      <c r="G79" s="156"/>
      <c r="H79" s="156"/>
      <c r="I79" s="156"/>
      <c r="J79" s="84"/>
    </row>
    <row r="80" spans="1:10" ht="15.75">
      <c r="A80" s="86"/>
      <c r="B80" s="86"/>
      <c r="C80" s="87" t="s">
        <v>409</v>
      </c>
      <c r="D80" s="157">
        <f t="shared" si="14"/>
        <v>2966365400</v>
      </c>
      <c r="E80" s="156"/>
      <c r="F80" s="156">
        <v>2966365400</v>
      </c>
      <c r="G80" s="156"/>
      <c r="H80" s="156"/>
      <c r="I80" s="156"/>
      <c r="J80" s="84"/>
    </row>
    <row r="81" spans="1:10" ht="15.75">
      <c r="A81" s="86"/>
      <c r="B81" s="86"/>
      <c r="C81" s="87" t="s">
        <v>410</v>
      </c>
      <c r="D81" s="157">
        <f t="shared" si="14"/>
        <v>1446050000</v>
      </c>
      <c r="E81" s="156"/>
      <c r="F81" s="156">
        <v>1446050000</v>
      </c>
      <c r="G81" s="156"/>
      <c r="H81" s="156"/>
      <c r="I81" s="156"/>
      <c r="J81" s="84"/>
    </row>
    <row r="82" spans="1:10" ht="15.75">
      <c r="A82" s="86"/>
      <c r="B82" s="86"/>
      <c r="C82" s="87" t="s">
        <v>411</v>
      </c>
      <c r="D82" s="157">
        <f t="shared" si="14"/>
        <v>1504000000</v>
      </c>
      <c r="E82" s="156"/>
      <c r="F82" s="156">
        <v>1504000000</v>
      </c>
      <c r="G82" s="156"/>
      <c r="H82" s="156"/>
      <c r="I82" s="156"/>
      <c r="J82" s="84"/>
    </row>
    <row r="83" spans="1:10" ht="15.75">
      <c r="A83" s="86"/>
      <c r="B83" s="86"/>
      <c r="C83" s="87" t="s">
        <v>412</v>
      </c>
      <c r="D83" s="157">
        <f t="shared" si="14"/>
        <v>9994811312</v>
      </c>
      <c r="E83" s="156"/>
      <c r="F83" s="156">
        <f>178986312+9815825000</f>
        <v>9994811312</v>
      </c>
      <c r="G83" s="156"/>
      <c r="H83" s="156"/>
      <c r="I83" s="156"/>
      <c r="J83" s="84"/>
    </row>
    <row r="84" spans="1:10" ht="15.75">
      <c r="A84" s="86"/>
      <c r="B84" s="86"/>
      <c r="C84" s="87" t="s">
        <v>413</v>
      </c>
      <c r="D84" s="157">
        <f>SUM(E84:I84)</f>
        <v>30756856948</v>
      </c>
      <c r="E84" s="156">
        <v>337164900</v>
      </c>
      <c r="F84" s="156">
        <v>9416788000</v>
      </c>
      <c r="G84" s="156">
        <v>2060359000</v>
      </c>
      <c r="H84" s="156">
        <v>18942545048</v>
      </c>
      <c r="I84" s="156"/>
      <c r="J84" s="84"/>
    </row>
    <row r="85" spans="1:10" ht="15.75">
      <c r="A85" s="86">
        <v>16</v>
      </c>
      <c r="B85" s="86">
        <v>426</v>
      </c>
      <c r="C85" s="126" t="s">
        <v>101</v>
      </c>
      <c r="D85" s="155">
        <f aca="true" t="shared" si="15" ref="D85:I85">SUM(D86:D89)</f>
        <v>47685229842</v>
      </c>
      <c r="E85" s="182">
        <f t="shared" si="15"/>
        <v>10206889406</v>
      </c>
      <c r="F85" s="182">
        <f t="shared" si="15"/>
        <v>37478340436</v>
      </c>
      <c r="G85" s="182">
        <f t="shared" si="15"/>
        <v>0</v>
      </c>
      <c r="H85" s="182">
        <f t="shared" si="15"/>
        <v>0</v>
      </c>
      <c r="I85" s="182">
        <f t="shared" si="15"/>
        <v>0</v>
      </c>
      <c r="J85" s="84"/>
    </row>
    <row r="86" spans="1:10" ht="15.75">
      <c r="A86" s="86"/>
      <c r="B86" s="86"/>
      <c r="C86" s="87" t="s">
        <v>404</v>
      </c>
      <c r="D86" s="157">
        <f>SUM(E86:H86)</f>
        <v>7599798556</v>
      </c>
      <c r="E86" s="156">
        <v>6849272000</v>
      </c>
      <c r="F86" s="156">
        <v>750526556</v>
      </c>
      <c r="G86" s="156"/>
      <c r="H86" s="156"/>
      <c r="I86" s="156"/>
      <c r="J86" s="84"/>
    </row>
    <row r="87" spans="1:10" ht="15.75">
      <c r="A87" s="86"/>
      <c r="B87" s="86"/>
      <c r="C87" s="87" t="s">
        <v>403</v>
      </c>
      <c r="D87" s="157">
        <f>SUM(E87:I87)</f>
        <v>28790133406</v>
      </c>
      <c r="E87" s="156">
        <f>2311070406+375780000</f>
        <v>2686850406</v>
      </c>
      <c r="F87" s="156">
        <f>25781109000+322174000</f>
        <v>26103283000</v>
      </c>
      <c r="G87" s="156"/>
      <c r="H87" s="156"/>
      <c r="I87" s="156"/>
      <c r="J87" s="84"/>
    </row>
    <row r="88" spans="1:10" ht="15.75">
      <c r="A88" s="86"/>
      <c r="B88" s="86"/>
      <c r="C88" s="124" t="s">
        <v>458</v>
      </c>
      <c r="D88" s="157">
        <f>SUM(E88:I88)</f>
        <v>1238505524</v>
      </c>
      <c r="E88" s="156">
        <v>670767000</v>
      </c>
      <c r="F88" s="156">
        <v>567738524</v>
      </c>
      <c r="G88" s="156"/>
      <c r="H88" s="156"/>
      <c r="I88" s="156"/>
      <c r="J88" s="84"/>
    </row>
    <row r="89" spans="1:10" ht="15.75">
      <c r="A89" s="86"/>
      <c r="B89" s="86"/>
      <c r="C89" s="87" t="s">
        <v>405</v>
      </c>
      <c r="D89" s="157">
        <f>SUM(E89:H89)</f>
        <v>10056792356</v>
      </c>
      <c r="E89" s="156"/>
      <c r="F89" s="156">
        <v>10056792356</v>
      </c>
      <c r="G89" s="156"/>
      <c r="H89" s="156"/>
      <c r="I89" s="156"/>
      <c r="J89" s="84"/>
    </row>
    <row r="90" spans="1:10" ht="15.75">
      <c r="A90" s="86"/>
      <c r="B90" s="86">
        <v>427</v>
      </c>
      <c r="C90" s="126" t="s">
        <v>382</v>
      </c>
      <c r="D90" s="155">
        <f aca="true" t="shared" si="16" ref="D90:I90">SUM(D91:D92)</f>
        <v>7044829249</v>
      </c>
      <c r="E90" s="180">
        <f t="shared" si="16"/>
        <v>4132961490</v>
      </c>
      <c r="F90" s="180">
        <f t="shared" si="16"/>
        <v>742809625</v>
      </c>
      <c r="G90" s="180">
        <f t="shared" si="16"/>
        <v>0</v>
      </c>
      <c r="H90" s="180">
        <f t="shared" si="16"/>
        <v>2169058134</v>
      </c>
      <c r="I90" s="180">
        <f t="shared" si="16"/>
        <v>0</v>
      </c>
      <c r="J90" s="84"/>
    </row>
    <row r="91" spans="1:10" ht="15.75">
      <c r="A91" s="86">
        <v>17</v>
      </c>
      <c r="B91" s="86"/>
      <c r="C91" s="87" t="s">
        <v>432</v>
      </c>
      <c r="D91" s="157">
        <f>SUM(E91:H91)</f>
        <v>6302019624</v>
      </c>
      <c r="E91" s="156">
        <v>4132961490</v>
      </c>
      <c r="F91" s="156"/>
      <c r="G91" s="156"/>
      <c r="H91" s="156">
        <v>2169058134</v>
      </c>
      <c r="I91" s="156"/>
      <c r="J91" s="84"/>
    </row>
    <row r="92" spans="1:10" ht="31.5">
      <c r="A92" s="86">
        <v>18</v>
      </c>
      <c r="B92" s="86"/>
      <c r="C92" s="128" t="s">
        <v>473</v>
      </c>
      <c r="D92" s="157">
        <f>SUM(E92:I92)</f>
        <v>742809625</v>
      </c>
      <c r="E92" s="156"/>
      <c r="F92" s="156">
        <f>122014266+620795359</f>
        <v>742809625</v>
      </c>
      <c r="G92" s="156"/>
      <c r="H92" s="156"/>
      <c r="I92" s="156"/>
      <c r="J92" s="84"/>
    </row>
    <row r="93" spans="1:10" ht="15.75">
      <c r="A93" s="86">
        <v>19</v>
      </c>
      <c r="B93" s="86">
        <v>411</v>
      </c>
      <c r="C93" s="126" t="s">
        <v>19</v>
      </c>
      <c r="D93" s="155">
        <f>SUM(E93:H93)</f>
        <v>2516000000</v>
      </c>
      <c r="E93" s="156">
        <v>2516000000</v>
      </c>
      <c r="F93" s="156"/>
      <c r="G93" s="156"/>
      <c r="H93" s="156"/>
      <c r="I93" s="156"/>
      <c r="J93" s="84"/>
    </row>
    <row r="94" spans="1:10" ht="15.75">
      <c r="A94" s="86">
        <v>20</v>
      </c>
      <c r="B94" s="86">
        <v>435</v>
      </c>
      <c r="C94" s="126" t="s">
        <v>84</v>
      </c>
      <c r="D94" s="155">
        <f aca="true" t="shared" si="17" ref="D94:D101">SUM(E94:I94)</f>
        <v>13379053692</v>
      </c>
      <c r="E94" s="156">
        <v>10861000000</v>
      </c>
      <c r="F94" s="156"/>
      <c r="G94" s="156"/>
      <c r="H94" s="156">
        <v>2518053692</v>
      </c>
      <c r="I94" s="156"/>
      <c r="J94" s="84"/>
    </row>
    <row r="95" spans="1:10" ht="15.75">
      <c r="A95" s="86">
        <v>21</v>
      </c>
      <c r="B95" s="86">
        <v>437</v>
      </c>
      <c r="C95" s="126" t="s">
        <v>90</v>
      </c>
      <c r="D95" s="155">
        <f t="shared" si="17"/>
        <v>2914476975</v>
      </c>
      <c r="E95" s="156">
        <f>2876937975+37539000</f>
        <v>2914476975</v>
      </c>
      <c r="F95" s="156"/>
      <c r="G95" s="156"/>
      <c r="H95" s="156"/>
      <c r="I95" s="156"/>
      <c r="J95" s="84"/>
    </row>
    <row r="96" spans="1:10" ht="15.75">
      <c r="A96" s="86">
        <v>22</v>
      </c>
      <c r="B96" s="86">
        <v>441</v>
      </c>
      <c r="C96" s="126" t="s">
        <v>104</v>
      </c>
      <c r="D96" s="155">
        <f t="shared" si="17"/>
        <v>37451238752</v>
      </c>
      <c r="E96" s="156"/>
      <c r="F96" s="156">
        <f>26608855771+10842382981</f>
        <v>37451238752</v>
      </c>
      <c r="G96" s="156"/>
      <c r="H96" s="156"/>
      <c r="I96" s="156"/>
      <c r="J96" s="84"/>
    </row>
    <row r="97" spans="1:10" ht="15.75">
      <c r="A97" s="86">
        <v>23</v>
      </c>
      <c r="B97" s="86">
        <v>448</v>
      </c>
      <c r="C97" s="126" t="s">
        <v>51</v>
      </c>
      <c r="D97" s="155">
        <f t="shared" si="17"/>
        <v>1483290000</v>
      </c>
      <c r="E97" s="156">
        <v>1483290000</v>
      </c>
      <c r="F97" s="156"/>
      <c r="G97" s="156"/>
      <c r="H97" s="156"/>
      <c r="I97" s="156"/>
      <c r="J97" s="84"/>
    </row>
    <row r="98" spans="1:10" ht="15.75">
      <c r="A98" s="86">
        <v>24</v>
      </c>
      <c r="B98" s="86">
        <v>483</v>
      </c>
      <c r="C98" s="126" t="s">
        <v>47</v>
      </c>
      <c r="D98" s="155">
        <f t="shared" si="17"/>
        <v>4190441832</v>
      </c>
      <c r="E98" s="156">
        <v>4190441832</v>
      </c>
      <c r="F98" s="156"/>
      <c r="G98" s="156"/>
      <c r="H98" s="156"/>
      <c r="I98" s="156"/>
      <c r="J98" s="84"/>
    </row>
    <row r="99" spans="1:10" ht="15.75">
      <c r="A99" s="86">
        <v>25</v>
      </c>
      <c r="B99" s="86">
        <v>505</v>
      </c>
      <c r="C99" s="126" t="s">
        <v>459</v>
      </c>
      <c r="D99" s="155">
        <f t="shared" si="17"/>
        <v>21867234256</v>
      </c>
      <c r="E99" s="156">
        <f>24946700+6136048873</f>
        <v>6160995573</v>
      </c>
      <c r="F99" s="156"/>
      <c r="G99" s="156"/>
      <c r="H99" s="156">
        <v>15706238683</v>
      </c>
      <c r="I99" s="156"/>
      <c r="J99" s="84"/>
    </row>
    <row r="100" spans="1:10" ht="15.75">
      <c r="A100" s="86"/>
      <c r="B100" s="86">
        <v>509</v>
      </c>
      <c r="C100" s="126" t="s">
        <v>430</v>
      </c>
      <c r="D100" s="155">
        <f t="shared" si="17"/>
        <v>56266527307</v>
      </c>
      <c r="E100" s="156">
        <v>56266527307</v>
      </c>
      <c r="F100" s="156"/>
      <c r="G100" s="156"/>
      <c r="H100" s="156"/>
      <c r="I100" s="156"/>
      <c r="J100" s="84"/>
    </row>
    <row r="101" spans="1:10" ht="15.75">
      <c r="A101" s="86">
        <v>26</v>
      </c>
      <c r="B101" s="86">
        <v>510</v>
      </c>
      <c r="C101" s="126" t="s">
        <v>88</v>
      </c>
      <c r="D101" s="155">
        <f t="shared" si="17"/>
        <v>4680595600</v>
      </c>
      <c r="E101" s="156">
        <v>3230383000</v>
      </c>
      <c r="F101" s="156"/>
      <c r="G101" s="156"/>
      <c r="H101" s="156">
        <v>1450212600</v>
      </c>
      <c r="I101" s="156"/>
      <c r="J101" s="84"/>
    </row>
    <row r="102" spans="1:10" ht="15.75">
      <c r="A102" s="86"/>
      <c r="B102" s="86">
        <v>511</v>
      </c>
      <c r="C102" s="126" t="s">
        <v>92</v>
      </c>
      <c r="D102" s="155">
        <f aca="true" t="shared" si="18" ref="D102:I102">SUM(D103:D105)</f>
        <v>13109443075</v>
      </c>
      <c r="E102" s="180">
        <f t="shared" si="18"/>
        <v>9032943075</v>
      </c>
      <c r="F102" s="180">
        <f t="shared" si="18"/>
        <v>0</v>
      </c>
      <c r="G102" s="180">
        <f t="shared" si="18"/>
        <v>40000000</v>
      </c>
      <c r="H102" s="180">
        <f t="shared" si="18"/>
        <v>4036500000</v>
      </c>
      <c r="I102" s="180">
        <f t="shared" si="18"/>
        <v>0</v>
      </c>
      <c r="J102" s="84"/>
    </row>
    <row r="103" spans="1:10" ht="15.75">
      <c r="A103" s="86">
        <v>27</v>
      </c>
      <c r="B103" s="86"/>
      <c r="C103" s="87" t="s">
        <v>429</v>
      </c>
      <c r="D103" s="157">
        <f>SUM(E103:I103)</f>
        <v>8913610000</v>
      </c>
      <c r="E103" s="156">
        <f>4877110000-40000000</f>
        <v>4837110000</v>
      </c>
      <c r="F103" s="156"/>
      <c r="G103" s="156">
        <v>40000000</v>
      </c>
      <c r="H103" s="156">
        <v>4036500000</v>
      </c>
      <c r="I103" s="156"/>
      <c r="J103" s="84"/>
    </row>
    <row r="104" spans="1:10" ht="15.75">
      <c r="A104" s="86"/>
      <c r="B104" s="86"/>
      <c r="C104" s="124" t="s">
        <v>460</v>
      </c>
      <c r="D104" s="157">
        <f aca="true" t="shared" si="19" ref="D104:D111">SUM(E104:I104)</f>
        <v>2057500000</v>
      </c>
      <c r="E104" s="156">
        <v>2057500000</v>
      </c>
      <c r="F104" s="156"/>
      <c r="G104" s="156"/>
      <c r="H104" s="156"/>
      <c r="I104" s="156"/>
      <c r="J104" s="84"/>
    </row>
    <row r="105" spans="1:10" ht="15.75">
      <c r="A105" s="86"/>
      <c r="B105" s="86"/>
      <c r="C105" s="124" t="s">
        <v>461</v>
      </c>
      <c r="D105" s="157">
        <f t="shared" si="19"/>
        <v>2138333075</v>
      </c>
      <c r="E105" s="156">
        <f>159333075+1979000000</f>
        <v>2138333075</v>
      </c>
      <c r="F105" s="156"/>
      <c r="G105" s="156"/>
      <c r="H105" s="156"/>
      <c r="I105" s="156"/>
      <c r="J105" s="84"/>
    </row>
    <row r="106" spans="1:10" ht="15.75">
      <c r="A106" s="86">
        <v>28</v>
      </c>
      <c r="B106" s="86">
        <v>512</v>
      </c>
      <c r="C106" s="126" t="s">
        <v>96</v>
      </c>
      <c r="D106" s="155">
        <f t="shared" si="19"/>
        <v>2390267557</v>
      </c>
      <c r="E106" s="156">
        <v>2390267557</v>
      </c>
      <c r="F106" s="156"/>
      <c r="G106" s="156"/>
      <c r="H106" s="156"/>
      <c r="I106" s="156"/>
      <c r="J106" s="84"/>
    </row>
    <row r="107" spans="1:10" ht="15.75">
      <c r="A107" s="86">
        <v>29</v>
      </c>
      <c r="B107" s="86">
        <v>513</v>
      </c>
      <c r="C107" s="126" t="s">
        <v>66</v>
      </c>
      <c r="D107" s="155">
        <f aca="true" t="shared" si="20" ref="D107:I107">SUM(D108:D109)</f>
        <v>5383462000</v>
      </c>
      <c r="E107" s="180">
        <f t="shared" si="20"/>
        <v>2897462000</v>
      </c>
      <c r="F107" s="180">
        <f t="shared" si="20"/>
        <v>486000000</v>
      </c>
      <c r="G107" s="180">
        <f t="shared" si="20"/>
        <v>0</v>
      </c>
      <c r="H107" s="180">
        <f t="shared" si="20"/>
        <v>2000000000</v>
      </c>
      <c r="I107" s="180">
        <f t="shared" si="20"/>
        <v>0</v>
      </c>
      <c r="J107" s="84"/>
    </row>
    <row r="108" spans="1:10" ht="15.75">
      <c r="A108" s="86"/>
      <c r="B108" s="86"/>
      <c r="C108" s="124" t="s">
        <v>462</v>
      </c>
      <c r="D108" s="157">
        <f>SUM(E108:I108)</f>
        <v>4897462000</v>
      </c>
      <c r="E108" s="156">
        <v>2897462000</v>
      </c>
      <c r="F108" s="156"/>
      <c r="G108" s="156"/>
      <c r="H108" s="156">
        <v>2000000000</v>
      </c>
      <c r="I108" s="156"/>
      <c r="J108" s="84"/>
    </row>
    <row r="109" spans="1:10" ht="15.75">
      <c r="A109" s="86"/>
      <c r="B109" s="86"/>
      <c r="C109" s="124" t="s">
        <v>463</v>
      </c>
      <c r="D109" s="157">
        <f>SUM(E109:I109)</f>
        <v>486000000</v>
      </c>
      <c r="E109" s="156"/>
      <c r="F109" s="156">
        <v>486000000</v>
      </c>
      <c r="G109" s="156"/>
      <c r="H109" s="156"/>
      <c r="I109" s="156"/>
      <c r="J109" s="84"/>
    </row>
    <row r="110" spans="1:10" ht="15.75">
      <c r="A110" s="86">
        <v>30</v>
      </c>
      <c r="B110" s="86">
        <v>514</v>
      </c>
      <c r="C110" s="126" t="s">
        <v>87</v>
      </c>
      <c r="D110" s="155">
        <f t="shared" si="19"/>
        <v>1664895000</v>
      </c>
      <c r="E110" s="156">
        <f>1664895000-25000000</f>
        <v>1639895000</v>
      </c>
      <c r="F110" s="156"/>
      <c r="G110" s="156">
        <v>25000000</v>
      </c>
      <c r="H110" s="156"/>
      <c r="I110" s="159"/>
      <c r="J110" s="84"/>
    </row>
    <row r="111" spans="1:10" ht="15.75">
      <c r="A111" s="86">
        <v>31</v>
      </c>
      <c r="B111" s="86">
        <v>515</v>
      </c>
      <c r="C111" s="126" t="s">
        <v>431</v>
      </c>
      <c r="D111" s="155">
        <f t="shared" si="19"/>
        <v>750000000</v>
      </c>
      <c r="E111" s="156">
        <v>750000000</v>
      </c>
      <c r="F111" s="156"/>
      <c r="G111" s="156"/>
      <c r="H111" s="156"/>
      <c r="I111" s="159"/>
      <c r="J111" s="84"/>
    </row>
    <row r="112" spans="1:10" ht="15.75">
      <c r="A112" s="86">
        <v>32</v>
      </c>
      <c r="B112" s="86">
        <v>599</v>
      </c>
      <c r="C112" s="126" t="s">
        <v>422</v>
      </c>
      <c r="D112" s="155">
        <f aca="true" t="shared" si="21" ref="D112:I112">SUM(D113:D130)</f>
        <v>177795211411</v>
      </c>
      <c r="E112" s="180">
        <f t="shared" si="21"/>
        <v>25065664000</v>
      </c>
      <c r="F112" s="180">
        <f t="shared" si="21"/>
        <v>21039329776</v>
      </c>
      <c r="G112" s="180">
        <f t="shared" si="21"/>
        <v>25000000</v>
      </c>
      <c r="H112" s="180">
        <f t="shared" si="21"/>
        <v>0</v>
      </c>
      <c r="I112" s="180">
        <f t="shared" si="21"/>
        <v>131665217635</v>
      </c>
      <c r="J112" s="84"/>
    </row>
    <row r="113" spans="1:10" ht="17.25" customHeight="1">
      <c r="A113" s="86"/>
      <c r="B113" s="86"/>
      <c r="C113" s="128" t="s">
        <v>294</v>
      </c>
      <c r="D113" s="157">
        <f aca="true" t="shared" si="22" ref="D113:D129">SUM(E113:H113)</f>
        <v>18274600000</v>
      </c>
      <c r="E113" s="156">
        <f>18274600000-25000000</f>
        <v>18249600000</v>
      </c>
      <c r="F113" s="156"/>
      <c r="G113" s="156">
        <v>25000000</v>
      </c>
      <c r="H113" s="156"/>
      <c r="I113" s="156"/>
      <c r="J113" s="84"/>
    </row>
    <row r="114" spans="1:10" ht="31.5">
      <c r="A114" s="86"/>
      <c r="B114" s="86"/>
      <c r="C114" s="128" t="s">
        <v>466</v>
      </c>
      <c r="D114" s="157">
        <f t="shared" si="22"/>
        <v>10567177860</v>
      </c>
      <c r="E114" s="156">
        <v>381000000</v>
      </c>
      <c r="F114" s="156">
        <v>10186177860</v>
      </c>
      <c r="G114" s="156"/>
      <c r="H114" s="156"/>
      <c r="I114" s="156"/>
      <c r="J114" s="84"/>
    </row>
    <row r="115" spans="1:10" ht="15.75">
      <c r="A115" s="86"/>
      <c r="B115" s="86"/>
      <c r="C115" s="87" t="s">
        <v>295</v>
      </c>
      <c r="D115" s="157">
        <f t="shared" si="22"/>
        <v>1347551819</v>
      </c>
      <c r="E115" s="156">
        <v>1081120000</v>
      </c>
      <c r="F115" s="156">
        <v>266431819</v>
      </c>
      <c r="G115" s="156"/>
      <c r="H115" s="156"/>
      <c r="I115" s="156"/>
      <c r="J115" s="84"/>
    </row>
    <row r="116" spans="1:10" ht="15.75">
      <c r="A116" s="86"/>
      <c r="B116" s="86"/>
      <c r="C116" s="87" t="s">
        <v>53</v>
      </c>
      <c r="D116" s="157">
        <f t="shared" si="22"/>
        <v>352080000</v>
      </c>
      <c r="E116" s="156">
        <v>352080000</v>
      </c>
      <c r="F116" s="156"/>
      <c r="G116" s="156"/>
      <c r="H116" s="156"/>
      <c r="I116" s="156"/>
      <c r="J116" s="84"/>
    </row>
    <row r="117" spans="1:10" ht="15.75">
      <c r="A117" s="86"/>
      <c r="B117" s="86"/>
      <c r="C117" s="87" t="s">
        <v>296</v>
      </c>
      <c r="D117" s="157">
        <f t="shared" si="22"/>
        <v>5031217064</v>
      </c>
      <c r="E117" s="156"/>
      <c r="F117" s="156">
        <v>5031217064</v>
      </c>
      <c r="G117" s="156"/>
      <c r="H117" s="156"/>
      <c r="I117" s="156"/>
      <c r="J117" s="84"/>
    </row>
    <row r="118" spans="1:10" ht="15.75">
      <c r="A118" s="86"/>
      <c r="B118" s="86"/>
      <c r="C118" s="87" t="s">
        <v>78</v>
      </c>
      <c r="D118" s="157">
        <f t="shared" si="22"/>
        <v>5555503033</v>
      </c>
      <c r="E118" s="156"/>
      <c r="F118" s="156">
        <f>4759408933+796094100</f>
        <v>5555503033</v>
      </c>
      <c r="G118" s="156"/>
      <c r="H118" s="156"/>
      <c r="I118" s="156"/>
      <c r="J118" s="84"/>
    </row>
    <row r="119" spans="1:10" ht="15.75">
      <c r="A119" s="86"/>
      <c r="B119" s="86"/>
      <c r="C119" s="87" t="s">
        <v>70</v>
      </c>
      <c r="D119" s="157">
        <f t="shared" si="22"/>
        <v>266000000</v>
      </c>
      <c r="E119" s="156">
        <v>266000000</v>
      </c>
      <c r="F119" s="156"/>
      <c r="G119" s="156"/>
      <c r="H119" s="156"/>
      <c r="I119" s="156"/>
      <c r="J119" s="84"/>
    </row>
    <row r="120" spans="1:10" ht="15.75">
      <c r="A120" s="86"/>
      <c r="B120" s="86"/>
      <c r="C120" s="87" t="s">
        <v>89</v>
      </c>
      <c r="D120" s="157">
        <f t="shared" si="22"/>
        <v>2044200000</v>
      </c>
      <c r="E120" s="156">
        <v>2044200000</v>
      </c>
      <c r="F120" s="156"/>
      <c r="G120" s="156"/>
      <c r="H120" s="156"/>
      <c r="I120" s="156"/>
      <c r="J120" s="84"/>
    </row>
    <row r="121" spans="1:10" ht="15.75">
      <c r="A121" s="86"/>
      <c r="B121" s="86"/>
      <c r="C121" s="87" t="s">
        <v>102</v>
      </c>
      <c r="D121" s="157">
        <f t="shared" si="22"/>
        <v>342200000</v>
      </c>
      <c r="E121" s="156">
        <v>342200000</v>
      </c>
      <c r="F121" s="156"/>
      <c r="G121" s="156"/>
      <c r="H121" s="156"/>
      <c r="I121" s="156"/>
      <c r="J121" s="84"/>
    </row>
    <row r="122" spans="1:10" ht="15.75">
      <c r="A122" s="86"/>
      <c r="B122" s="86"/>
      <c r="C122" s="87" t="s">
        <v>76</v>
      </c>
      <c r="D122" s="157">
        <f t="shared" si="22"/>
        <v>100000000</v>
      </c>
      <c r="E122" s="156">
        <v>100000000</v>
      </c>
      <c r="F122" s="156"/>
      <c r="G122" s="156"/>
      <c r="H122" s="156"/>
      <c r="I122" s="156"/>
      <c r="J122" s="84"/>
    </row>
    <row r="123" spans="1:10" ht="15.75">
      <c r="A123" s="86"/>
      <c r="B123" s="86"/>
      <c r="C123" s="87" t="s">
        <v>82</v>
      </c>
      <c r="D123" s="157">
        <f t="shared" si="22"/>
        <v>78500000</v>
      </c>
      <c r="E123" s="156">
        <v>78500000</v>
      </c>
      <c r="F123" s="156"/>
      <c r="G123" s="156"/>
      <c r="H123" s="156"/>
      <c r="I123" s="156"/>
      <c r="J123" s="84"/>
    </row>
    <row r="124" spans="1:10" ht="15.75">
      <c r="A124" s="86"/>
      <c r="B124" s="86"/>
      <c r="C124" s="87" t="s">
        <v>39</v>
      </c>
      <c r="D124" s="157">
        <f t="shared" si="22"/>
        <v>205500000</v>
      </c>
      <c r="E124" s="156">
        <v>205500000</v>
      </c>
      <c r="F124" s="156"/>
      <c r="G124" s="156"/>
      <c r="H124" s="156"/>
      <c r="I124" s="156"/>
      <c r="J124" s="84"/>
    </row>
    <row r="125" spans="1:10" ht="15.75">
      <c r="A125" s="86"/>
      <c r="B125" s="86"/>
      <c r="C125" s="87" t="s">
        <v>299</v>
      </c>
      <c r="D125" s="157">
        <f t="shared" si="22"/>
        <v>146000000</v>
      </c>
      <c r="E125" s="156">
        <v>146000000</v>
      </c>
      <c r="F125" s="156"/>
      <c r="G125" s="156"/>
      <c r="H125" s="156"/>
      <c r="I125" s="156"/>
      <c r="J125" s="84"/>
    </row>
    <row r="126" spans="1:10" ht="15.75">
      <c r="A126" s="86"/>
      <c r="B126" s="86"/>
      <c r="C126" s="87" t="s">
        <v>300</v>
      </c>
      <c r="D126" s="157">
        <f t="shared" si="22"/>
        <v>130000000</v>
      </c>
      <c r="E126" s="156">
        <v>130000000</v>
      </c>
      <c r="F126" s="156"/>
      <c r="G126" s="156"/>
      <c r="H126" s="156"/>
      <c r="I126" s="156"/>
      <c r="J126" s="84"/>
    </row>
    <row r="127" spans="1:10" ht="15.75">
      <c r="A127" s="86"/>
      <c r="B127" s="86"/>
      <c r="C127" s="87" t="s">
        <v>31</v>
      </c>
      <c r="D127" s="157">
        <f t="shared" si="22"/>
        <v>346944000</v>
      </c>
      <c r="E127" s="156">
        <v>346944000</v>
      </c>
      <c r="F127" s="156"/>
      <c r="G127" s="156"/>
      <c r="H127" s="156"/>
      <c r="I127" s="156"/>
      <c r="J127" s="84"/>
    </row>
    <row r="128" spans="1:10" ht="15.75">
      <c r="A128" s="86"/>
      <c r="B128" s="86"/>
      <c r="C128" s="87" t="s">
        <v>297</v>
      </c>
      <c r="D128" s="157">
        <f t="shared" si="22"/>
        <v>404520000</v>
      </c>
      <c r="E128" s="156">
        <v>404520000</v>
      </c>
      <c r="F128" s="156"/>
      <c r="G128" s="156"/>
      <c r="H128" s="156"/>
      <c r="I128" s="156"/>
      <c r="J128" s="84"/>
    </row>
    <row r="129" spans="1:10" ht="15.75">
      <c r="A129" s="86"/>
      <c r="B129" s="86"/>
      <c r="C129" s="87" t="s">
        <v>298</v>
      </c>
      <c r="D129" s="157">
        <f t="shared" si="22"/>
        <v>938000000</v>
      </c>
      <c r="E129" s="156">
        <v>938000000</v>
      </c>
      <c r="F129" s="156"/>
      <c r="G129" s="156"/>
      <c r="H129" s="159"/>
      <c r="I129" s="159"/>
      <c r="J129" s="84"/>
    </row>
    <row r="130" spans="1:10" ht="15.75">
      <c r="A130" s="86"/>
      <c r="B130" s="86"/>
      <c r="C130" s="87" t="s">
        <v>435</v>
      </c>
      <c r="D130" s="157">
        <f>SUM(E130:I130)</f>
        <v>131665217635</v>
      </c>
      <c r="E130" s="156"/>
      <c r="F130" s="156"/>
      <c r="G130" s="156"/>
      <c r="H130" s="159"/>
      <c r="I130" s="185">
        <v>131665217635</v>
      </c>
      <c r="J130" s="84"/>
    </row>
    <row r="131" spans="1:10" ht="15.75">
      <c r="A131" s="86">
        <v>33</v>
      </c>
      <c r="B131" s="86">
        <v>560</v>
      </c>
      <c r="C131" s="126" t="s">
        <v>433</v>
      </c>
      <c r="D131" s="155">
        <f>SUM(E131:I131)</f>
        <v>1440460479516</v>
      </c>
      <c r="E131" s="156"/>
      <c r="F131" s="156"/>
      <c r="G131" s="156"/>
      <c r="H131" s="156"/>
      <c r="I131" s="156">
        <v>1440460479516</v>
      </c>
      <c r="J131" s="84"/>
    </row>
    <row r="132" spans="1:10" ht="15.75">
      <c r="A132" s="132">
        <v>34</v>
      </c>
      <c r="B132" s="132">
        <v>564</v>
      </c>
      <c r="C132" s="133" t="s">
        <v>434</v>
      </c>
      <c r="D132" s="163">
        <f>SUM(E132:I132)</f>
        <v>8750314488</v>
      </c>
      <c r="E132" s="164"/>
      <c r="F132" s="164"/>
      <c r="G132" s="164"/>
      <c r="H132" s="164"/>
      <c r="I132" s="164">
        <v>8750314488</v>
      </c>
      <c r="J132" s="84"/>
    </row>
    <row r="133" spans="1:9" ht="15.75">
      <c r="A133" s="175"/>
      <c r="B133" s="176"/>
      <c r="C133" s="177"/>
      <c r="D133" s="178"/>
      <c r="E133" s="179"/>
      <c r="F133" s="179"/>
      <c r="G133" s="179"/>
      <c r="H133" s="179"/>
      <c r="I133" s="179"/>
    </row>
    <row r="134" spans="1:9" ht="15.75">
      <c r="A134" s="225" t="s">
        <v>83</v>
      </c>
      <c r="B134" s="226"/>
      <c r="C134" s="227"/>
      <c r="D134" s="165">
        <f>SUM(E134:I134)</f>
        <v>2915994151522</v>
      </c>
      <c r="E134" s="153">
        <f>E11+E12+E15+E29+E32+E37+E40+E45+E49+E53+E61+E76+E77+E85+E90+E93+E94+E95+E96+E97+E98+E99+E100+E102+E107+E112+E131+E132+E44+E106+E110+E111+E101</f>
        <v>229509624056</v>
      </c>
      <c r="F134" s="153">
        <f>F11+F12+F15+F29+F32+F37+F40+F45+F49+F53+F61+F76+F77+F85+F90+F93+F94+F95+F96+F97+F98+F99+F100+F102+F107+F112+F131+F132+F44+F106+F110+F111+F101</f>
        <v>560294122611</v>
      </c>
      <c r="G134" s="153">
        <f>G11+G12+G15+G29+G32+G37+G40+G45+G49+G53+G61+G76+G77+G85+G90+G93+G94+G95+G96+G97+G98+G99+G100+G102+G107+G112+G131+G132+G44+G106+G110+G111+G101</f>
        <v>55186478424</v>
      </c>
      <c r="H134" s="153">
        <f>H11+H12+H15+H29+H32+H37+H40+H45+H49+H53+H61+H76+H77+H85+H90+H93+H94+H95+H96+H97+H98+H99+H100+H102+H107+H112+H131+H132+H44+H106+H110+H111+H101</f>
        <v>488255172084</v>
      </c>
      <c r="I134" s="153">
        <f>I11+I12+I15+I29+I32+I37+I40+I45+I49+I53+I61+I76+I77+I85+I90+I93+I94+I95+I96+I97+I98+I99+I100+I102+I107+I112+I131+I132+I44+I106+I110+I111+I101</f>
        <v>1582748754347</v>
      </c>
    </row>
    <row r="135" spans="5:9" ht="12.75">
      <c r="E135" s="184"/>
      <c r="F135" s="184"/>
      <c r="G135" s="184"/>
      <c r="H135" s="184"/>
      <c r="I135" s="184"/>
    </row>
    <row r="136" spans="4:9" ht="12.75">
      <c r="D136" s="137"/>
      <c r="E136" s="184"/>
      <c r="F136" s="184"/>
      <c r="G136" s="184"/>
      <c r="H136" s="184"/>
      <c r="I136" s="184"/>
    </row>
    <row r="138" ht="12.75">
      <c r="E138" s="184"/>
    </row>
    <row r="139" spans="5:9" ht="12.75">
      <c r="E139" s="183"/>
      <c r="F139" s="183"/>
      <c r="G139" s="183"/>
      <c r="H139" s="183"/>
      <c r="I139" s="183"/>
    </row>
    <row r="140" ht="12.75">
      <c r="E140" s="184"/>
    </row>
    <row r="141" spans="5:9" ht="12.75">
      <c r="E141" s="183"/>
      <c r="F141" s="183"/>
      <c r="G141" s="183"/>
      <c r="H141" s="183"/>
      <c r="I141" s="183"/>
    </row>
    <row r="143" ht="12.75">
      <c r="E143" s="183"/>
    </row>
  </sheetData>
  <mergeCells count="14">
    <mergeCell ref="A1:I1"/>
    <mergeCell ref="C6:C8"/>
    <mergeCell ref="I6:I8"/>
    <mergeCell ref="B9:B10"/>
    <mergeCell ref="D6:F6"/>
    <mergeCell ref="G6:G8"/>
    <mergeCell ref="H6:H8"/>
    <mergeCell ref="D7:D8"/>
    <mergeCell ref="E7:E8"/>
    <mergeCell ref="F7:F8"/>
    <mergeCell ref="A134:C134"/>
    <mergeCell ref="A6:A8"/>
    <mergeCell ref="G5:I5"/>
    <mergeCell ref="A3:V3"/>
  </mergeCells>
  <printOptions/>
  <pageMargins left="0.36" right="0.16" top="0.43" bottom="0.38" header="0.16" footer="0.16"/>
  <pageSetup horizontalDpi="600" verticalDpi="600" orientation="landscape" paperSize="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Tai Chinh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tranthikimhong</dc:creator>
  <cp:keywords/>
  <dc:description/>
  <cp:lastModifiedBy>admin</cp:lastModifiedBy>
  <cp:lastPrinted>2012-05-08T08:59:13Z</cp:lastPrinted>
  <dcterms:created xsi:type="dcterms:W3CDTF">2007-01-29T07:33:40Z</dcterms:created>
  <dcterms:modified xsi:type="dcterms:W3CDTF">2012-05-18T01:55:00Z</dcterms:modified>
  <cp:category/>
  <cp:version/>
  <cp:contentType/>
  <cp:contentStatus/>
</cp:coreProperties>
</file>